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4"/>
  </bookViews>
  <sheets>
    <sheet name="Crédit" sheetId="5" r:id="rId1"/>
    <sheet name="TCR" sheetId="1" r:id="rId2"/>
    <sheet name="BILANS" sheetId="2" r:id="rId3"/>
    <sheet name="RENTABILITE" sheetId="3" r:id="rId4"/>
    <sheet name="VAN" sheetId="4" r:id="rId5"/>
  </sheets>
  <definedNames>
    <definedName name="_xlnm.Print_Area" localSheetId="2">BILANS!$A$1:$L$30</definedName>
    <definedName name="_xlnm.Print_Area" localSheetId="3">RENTABILITE!$A$1:$L$19</definedName>
  </definedNames>
  <calcPr calcId="145621"/>
</workbook>
</file>

<file path=xl/calcChain.xml><?xml version="1.0" encoding="utf-8"?>
<calcChain xmlns="http://schemas.openxmlformats.org/spreadsheetml/2006/main">
  <c r="E11" i="5" l="1"/>
  <c r="F11" i="5" s="1"/>
  <c r="G11" i="5" s="1"/>
  <c r="H11" i="5" s="1"/>
  <c r="I11" i="5" s="1"/>
  <c r="J11" i="5" s="1"/>
  <c r="K11" i="5" s="1"/>
  <c r="L11" i="5" s="1"/>
  <c r="D11" i="5"/>
  <c r="D12" i="5"/>
  <c r="C12" i="5"/>
  <c r="C16" i="2"/>
  <c r="D16" i="2"/>
  <c r="D25" i="2"/>
  <c r="E25" i="2"/>
  <c r="F25" i="2"/>
  <c r="G25" i="2"/>
  <c r="H25" i="2"/>
  <c r="I25" i="2"/>
  <c r="J25" i="2"/>
  <c r="K25" i="2"/>
  <c r="L25" i="2"/>
  <c r="C25" i="2"/>
  <c r="D24" i="2"/>
  <c r="E24" i="2"/>
  <c r="F24" i="2"/>
  <c r="G24" i="2"/>
  <c r="H24" i="2"/>
  <c r="I24" i="2"/>
  <c r="J24" i="2"/>
  <c r="K24" i="2"/>
  <c r="L24" i="2"/>
  <c r="C24" i="2"/>
  <c r="D17" i="2"/>
  <c r="E17" i="2"/>
  <c r="F17" i="2"/>
  <c r="G17" i="2"/>
  <c r="H17" i="2"/>
  <c r="I17" i="2"/>
  <c r="J17" i="2"/>
  <c r="K17" i="2"/>
  <c r="L17" i="2"/>
  <c r="C17" i="2"/>
  <c r="B28" i="2"/>
  <c r="B27" i="2"/>
  <c r="B23" i="2"/>
  <c r="C13" i="2"/>
  <c r="B15" i="2"/>
  <c r="B18" i="2"/>
  <c r="C33" i="1"/>
  <c r="B33" i="1"/>
  <c r="L32" i="1"/>
  <c r="J8" i="3"/>
  <c r="K8" i="3"/>
  <c r="K17" i="3"/>
  <c r="K14" i="3"/>
  <c r="B10" i="5"/>
  <c r="D9" i="5"/>
  <c r="E9" i="5"/>
  <c r="C9" i="5"/>
  <c r="D8" i="5"/>
  <c r="E8" i="5"/>
  <c r="F8" i="5"/>
  <c r="G8" i="5"/>
  <c r="H8" i="5"/>
  <c r="I8" i="5"/>
  <c r="J8" i="5"/>
  <c r="K8" i="5"/>
  <c r="L8" i="5"/>
  <c r="C8" i="5"/>
  <c r="C16" i="1"/>
  <c r="C8" i="3" s="1"/>
  <c r="D16" i="1"/>
  <c r="D8" i="3" s="1"/>
  <c r="E16" i="1"/>
  <c r="E8" i="3" s="1"/>
  <c r="F16" i="1"/>
  <c r="F8" i="3" s="1"/>
  <c r="G16" i="1"/>
  <c r="G8" i="3" s="1"/>
  <c r="H16" i="1"/>
  <c r="H8" i="3" s="1"/>
  <c r="I16" i="1"/>
  <c r="I8" i="3" s="1"/>
  <c r="B16" i="1"/>
  <c r="B8" i="3" s="1"/>
  <c r="L8" i="3" l="1"/>
  <c r="D22" i="2"/>
  <c r="E22" i="2"/>
  <c r="F22" i="2"/>
  <c r="G22" i="2"/>
  <c r="H22" i="2"/>
  <c r="I22" i="2"/>
  <c r="J22" i="2"/>
  <c r="K22" i="2"/>
  <c r="L22" i="2"/>
  <c r="C22" i="2"/>
  <c r="C21" i="2"/>
  <c r="D21" i="2"/>
  <c r="E21" i="2"/>
  <c r="F21" i="2"/>
  <c r="G21" i="2"/>
  <c r="H21" i="2"/>
  <c r="I21" i="2"/>
  <c r="J21" i="2"/>
  <c r="K21" i="2"/>
  <c r="L21" i="2"/>
  <c r="C12" i="2"/>
  <c r="D12" i="2" s="1"/>
  <c r="E12" i="2" s="1"/>
  <c r="F12" i="2" s="1"/>
  <c r="G12" i="2" s="1"/>
  <c r="H12" i="2" s="1"/>
  <c r="I12" i="2" s="1"/>
  <c r="J12" i="2" s="1"/>
  <c r="K12" i="2" s="1"/>
  <c r="L12" i="2" s="1"/>
  <c r="L9" i="4"/>
  <c r="C21" i="5"/>
  <c r="D21" i="5"/>
  <c r="E21" i="5"/>
  <c r="F21" i="5"/>
  <c r="G21" i="5"/>
  <c r="H21" i="5"/>
  <c r="I21" i="5"/>
  <c r="J21" i="5"/>
  <c r="K21" i="5"/>
  <c r="L21" i="5"/>
  <c r="L20" i="5"/>
  <c r="K20" i="5"/>
  <c r="J20" i="5"/>
  <c r="I20" i="5"/>
  <c r="I22" i="5" s="1"/>
  <c r="H24" i="1" s="1"/>
  <c r="H20" i="5"/>
  <c r="G20" i="5"/>
  <c r="G22" i="5" s="1"/>
  <c r="F24" i="1" s="1"/>
  <c r="F20" i="5"/>
  <c r="E20" i="5"/>
  <c r="D20" i="5"/>
  <c r="C20" i="5"/>
  <c r="C22" i="5" s="1"/>
  <c r="B24" i="1" s="1"/>
  <c r="L22" i="5"/>
  <c r="K24" i="1" s="1"/>
  <c r="K22" i="5"/>
  <c r="J24" i="1" s="1"/>
  <c r="H22" i="5"/>
  <c r="G24" i="1" s="1"/>
  <c r="F22" i="5"/>
  <c r="E24" i="1" s="1"/>
  <c r="D22" i="5"/>
  <c r="C24" i="1" s="1"/>
  <c r="E22" i="5"/>
  <c r="D24" i="1" s="1"/>
  <c r="D10" i="5"/>
  <c r="E10" i="5"/>
  <c r="F10" i="5"/>
  <c r="G10" i="5"/>
  <c r="H10" i="5"/>
  <c r="I10" i="5"/>
  <c r="J10" i="5"/>
  <c r="K10" i="5"/>
  <c r="L10" i="5"/>
  <c r="C10" i="5"/>
  <c r="C11" i="5" s="1"/>
  <c r="C32" i="1"/>
  <c r="D32" i="1"/>
  <c r="E32" i="1"/>
  <c r="F32" i="1"/>
  <c r="G32" i="1"/>
  <c r="H32" i="1"/>
  <c r="I32" i="1"/>
  <c r="J32" i="1"/>
  <c r="K32" i="1"/>
  <c r="C23" i="2" l="1"/>
  <c r="D23" i="2" s="1"/>
  <c r="J22" i="5"/>
  <c r="I24" i="1" s="1"/>
  <c r="E23" i="2" l="1"/>
  <c r="L6" i="1"/>
  <c r="L7" i="1"/>
  <c r="L8" i="1"/>
  <c r="L10" i="1"/>
  <c r="L11" i="1"/>
  <c r="L12" i="1"/>
  <c r="L15" i="1"/>
  <c r="L16" i="1"/>
  <c r="L18" i="1"/>
  <c r="L19" i="1"/>
  <c r="L20" i="1"/>
  <c r="L21" i="1"/>
  <c r="L23" i="1"/>
  <c r="L24" i="1"/>
  <c r="C29" i="1"/>
  <c r="D29" i="1"/>
  <c r="E29" i="1"/>
  <c r="F29" i="1"/>
  <c r="G29" i="1"/>
  <c r="H29" i="1"/>
  <c r="I29" i="1"/>
  <c r="J29" i="1"/>
  <c r="K29" i="1"/>
  <c r="B29" i="1"/>
  <c r="C25" i="1"/>
  <c r="D25" i="1"/>
  <c r="E25" i="1"/>
  <c r="F25" i="1"/>
  <c r="G25" i="1"/>
  <c r="H25" i="1"/>
  <c r="I25" i="1"/>
  <c r="J25" i="1"/>
  <c r="K25" i="1"/>
  <c r="B25" i="1"/>
  <c r="C13" i="1"/>
  <c r="D13" i="1"/>
  <c r="E13" i="1"/>
  <c r="F13" i="1"/>
  <c r="G13" i="1"/>
  <c r="H13" i="1"/>
  <c r="I13" i="1"/>
  <c r="J13" i="1"/>
  <c r="K13" i="1"/>
  <c r="B13" i="1"/>
  <c r="C18" i="2" s="1"/>
  <c r="C9" i="1"/>
  <c r="D9" i="1"/>
  <c r="D14" i="1" s="1"/>
  <c r="D17" i="1" s="1"/>
  <c r="D22" i="1" s="1"/>
  <c r="E9" i="1"/>
  <c r="E14" i="1" s="1"/>
  <c r="E17" i="1" s="1"/>
  <c r="E22" i="1" s="1"/>
  <c r="F9" i="1"/>
  <c r="F14" i="1" s="1"/>
  <c r="F17" i="1" s="1"/>
  <c r="F22" i="1" s="1"/>
  <c r="G9" i="1"/>
  <c r="G14" i="1" s="1"/>
  <c r="G17" i="1" s="1"/>
  <c r="G22" i="1" s="1"/>
  <c r="H9" i="1"/>
  <c r="H14" i="1" s="1"/>
  <c r="H17" i="1" s="1"/>
  <c r="H22" i="1" s="1"/>
  <c r="I9" i="1"/>
  <c r="I14" i="1" s="1"/>
  <c r="I17" i="1" s="1"/>
  <c r="I22" i="1" s="1"/>
  <c r="J9" i="1"/>
  <c r="J14" i="1" s="1"/>
  <c r="J17" i="1" s="1"/>
  <c r="J22" i="1" s="1"/>
  <c r="K9" i="1"/>
  <c r="K14" i="1" s="1"/>
  <c r="K17" i="1" s="1"/>
  <c r="K22" i="1" s="1"/>
  <c r="B9" i="1"/>
  <c r="E12" i="5" l="1"/>
  <c r="D33" i="1"/>
  <c r="E16" i="2"/>
  <c r="F23" i="2"/>
  <c r="D18" i="2"/>
  <c r="E18" i="2"/>
  <c r="L29" i="1"/>
  <c r="L9" i="1"/>
  <c r="C14" i="1"/>
  <c r="C17" i="1" s="1"/>
  <c r="C22" i="1" s="1"/>
  <c r="C26" i="1" s="1"/>
  <c r="B14" i="1"/>
  <c r="B17" i="1" s="1"/>
  <c r="L13" i="1"/>
  <c r="L25" i="1"/>
  <c r="J26" i="1"/>
  <c r="H26" i="1"/>
  <c r="F26" i="1"/>
  <c r="D26" i="1"/>
  <c r="K26" i="1"/>
  <c r="I26" i="1"/>
  <c r="G26" i="1"/>
  <c r="E26" i="1"/>
  <c r="L14" i="1" l="1"/>
  <c r="F16" i="2"/>
  <c r="F18" i="2" s="1"/>
  <c r="F12" i="5"/>
  <c r="E33" i="1"/>
  <c r="G23" i="2"/>
  <c r="B22" i="1"/>
  <c r="L17" i="1"/>
  <c r="E27" i="1"/>
  <c r="E28" i="1" s="1"/>
  <c r="E30" i="1" s="1"/>
  <c r="D27" i="1"/>
  <c r="D28" i="1" s="1"/>
  <c r="D30" i="1" s="1"/>
  <c r="C27" i="1"/>
  <c r="C28" i="1" s="1"/>
  <c r="C30" i="1" s="1"/>
  <c r="G27" i="1"/>
  <c r="G28" i="1" s="1"/>
  <c r="G30" i="1" s="1"/>
  <c r="K27" i="1"/>
  <c r="F27" i="1"/>
  <c r="F28" i="1" s="1"/>
  <c r="F30" i="1" s="1"/>
  <c r="J27" i="1"/>
  <c r="J28" i="1" s="1"/>
  <c r="J30" i="1" s="1"/>
  <c r="I27" i="1"/>
  <c r="I28" i="1" s="1"/>
  <c r="I30" i="1" s="1"/>
  <c r="H27" i="1"/>
  <c r="H28" i="1" s="1"/>
  <c r="H30" i="1" s="1"/>
  <c r="B19" i="2"/>
  <c r="L10" i="4"/>
  <c r="C17" i="3"/>
  <c r="D17" i="3"/>
  <c r="E17" i="3"/>
  <c r="F17" i="3"/>
  <c r="G17" i="3"/>
  <c r="H17" i="3"/>
  <c r="I17" i="3"/>
  <c r="J17" i="3"/>
  <c r="C14" i="3"/>
  <c r="D14" i="3"/>
  <c r="E14" i="3"/>
  <c r="F14" i="3"/>
  <c r="G14" i="3"/>
  <c r="H14" i="3"/>
  <c r="I14" i="3"/>
  <c r="J14" i="3"/>
  <c r="B14" i="3"/>
  <c r="L14" i="3" s="1"/>
  <c r="C11" i="3"/>
  <c r="D11" i="3"/>
  <c r="G11" i="3"/>
  <c r="C7" i="3"/>
  <c r="C9" i="3" s="1"/>
  <c r="C10" i="3" s="1"/>
  <c r="D7" i="3"/>
  <c r="E7" i="3"/>
  <c r="F7" i="3"/>
  <c r="G7" i="3"/>
  <c r="G9" i="3" s="1"/>
  <c r="H7" i="3"/>
  <c r="I7" i="3"/>
  <c r="J7" i="3"/>
  <c r="K7" i="3"/>
  <c r="K9" i="3" s="1"/>
  <c r="B7" i="3"/>
  <c r="L5" i="1"/>
  <c r="E9" i="3"/>
  <c r="I9" i="3"/>
  <c r="E10" i="3"/>
  <c r="I10" i="3"/>
  <c r="G12" i="3" l="1"/>
  <c r="G15" i="3" s="1"/>
  <c r="G10" i="3"/>
  <c r="L7" i="3"/>
  <c r="I11" i="3"/>
  <c r="F11" i="3"/>
  <c r="K28" i="1"/>
  <c r="K30" i="1" s="1"/>
  <c r="K11" i="3"/>
  <c r="I12" i="3"/>
  <c r="G12" i="5"/>
  <c r="F33" i="1"/>
  <c r="G16" i="2"/>
  <c r="K10" i="3"/>
  <c r="K12" i="3"/>
  <c r="H23" i="2"/>
  <c r="J9" i="3"/>
  <c r="H9" i="3"/>
  <c r="F9" i="3"/>
  <c r="F12" i="3" s="1"/>
  <c r="D9" i="3"/>
  <c r="D10" i="3" s="1"/>
  <c r="G13" i="3"/>
  <c r="J10" i="3"/>
  <c r="H10" i="3"/>
  <c r="F10" i="3"/>
  <c r="D12" i="3"/>
  <c r="I13" i="3"/>
  <c r="I15" i="3"/>
  <c r="E11" i="3"/>
  <c r="E12" i="3" s="1"/>
  <c r="C12" i="3"/>
  <c r="J11" i="3"/>
  <c r="H11" i="3"/>
  <c r="H12" i="3" s="1"/>
  <c r="G18" i="2"/>
  <c r="L22" i="1"/>
  <c r="B26" i="1"/>
  <c r="L14" i="2"/>
  <c r="K34" i="1"/>
  <c r="D14" i="2"/>
  <c r="C34" i="1"/>
  <c r="C6" i="4" s="1"/>
  <c r="C7" i="4" s="1"/>
  <c r="J14" i="2"/>
  <c r="I34" i="1"/>
  <c r="H14" i="2"/>
  <c r="G34" i="1"/>
  <c r="F14" i="2"/>
  <c r="E34" i="1"/>
  <c r="I14" i="2"/>
  <c r="H34" i="1"/>
  <c r="K14" i="2"/>
  <c r="J34" i="1"/>
  <c r="G14" i="2"/>
  <c r="F34" i="1"/>
  <c r="E14" i="2"/>
  <c r="D34" i="1"/>
  <c r="B9" i="3"/>
  <c r="J12" i="3" l="1"/>
  <c r="J13" i="3" s="1"/>
  <c r="H16" i="2"/>
  <c r="H12" i="5"/>
  <c r="G33" i="1"/>
  <c r="K13" i="3"/>
  <c r="K15" i="3"/>
  <c r="B10" i="3"/>
  <c r="L9" i="3"/>
  <c r="L10" i="3" s="1"/>
  <c r="I23" i="2"/>
  <c r="H13" i="3"/>
  <c r="H15" i="3"/>
  <c r="J15" i="3"/>
  <c r="E15" i="3"/>
  <c r="E13" i="3"/>
  <c r="I18" i="3"/>
  <c r="I19" i="3" s="1"/>
  <c r="I16" i="3"/>
  <c r="D15" i="3"/>
  <c r="D13" i="3"/>
  <c r="F13" i="3"/>
  <c r="F15" i="3"/>
  <c r="G18" i="3"/>
  <c r="G19" i="3" s="1"/>
  <c r="G16" i="3"/>
  <c r="C13" i="3"/>
  <c r="C15" i="3"/>
  <c r="H18" i="2"/>
  <c r="L26" i="1"/>
  <c r="B27" i="1"/>
  <c r="J35" i="1"/>
  <c r="J6" i="4"/>
  <c r="J7" i="4" s="1"/>
  <c r="K35" i="1"/>
  <c r="K6" i="4"/>
  <c r="K7" i="4" s="1"/>
  <c r="D35" i="1"/>
  <c r="D6" i="4"/>
  <c r="D7" i="4" s="1"/>
  <c r="F35" i="1"/>
  <c r="F6" i="4"/>
  <c r="F7" i="4" s="1"/>
  <c r="H35" i="1"/>
  <c r="H6" i="4"/>
  <c r="H7" i="4" s="1"/>
  <c r="E35" i="1"/>
  <c r="E6" i="4"/>
  <c r="E7" i="4" s="1"/>
  <c r="G35" i="1"/>
  <c r="G6" i="4"/>
  <c r="G7" i="4" s="1"/>
  <c r="I35" i="1"/>
  <c r="I6" i="4"/>
  <c r="I7" i="4" s="1"/>
  <c r="E13" i="2"/>
  <c r="E15" i="2" s="1"/>
  <c r="E19" i="2" s="1"/>
  <c r="E26" i="2" s="1"/>
  <c r="G13" i="2"/>
  <c r="G15" i="2"/>
  <c r="G19" i="2" s="1"/>
  <c r="G26" i="2" s="1"/>
  <c r="K13" i="2"/>
  <c r="K15" i="2" s="1"/>
  <c r="I13" i="2"/>
  <c r="I15" i="2" s="1"/>
  <c r="F13" i="2"/>
  <c r="F15" i="2" s="1"/>
  <c r="F19" i="2" s="1"/>
  <c r="F26" i="2" s="1"/>
  <c r="H13" i="2"/>
  <c r="H15" i="2" s="1"/>
  <c r="H19" i="2" s="1"/>
  <c r="H26" i="2" s="1"/>
  <c r="J13" i="2"/>
  <c r="J15" i="2" s="1"/>
  <c r="L13" i="2"/>
  <c r="L15" i="2" s="1"/>
  <c r="I12" i="5" l="1"/>
  <c r="H33" i="1"/>
  <c r="K16" i="3"/>
  <c r="K18" i="3"/>
  <c r="K19" i="3" s="1"/>
  <c r="H27" i="2"/>
  <c r="H28" i="2" s="1"/>
  <c r="F27" i="2"/>
  <c r="F28" i="2" s="1"/>
  <c r="G27" i="2"/>
  <c r="G28" i="2" s="1"/>
  <c r="E27" i="2"/>
  <c r="E28" i="2" s="1"/>
  <c r="J23" i="2"/>
  <c r="C18" i="3"/>
  <c r="C19" i="3" s="1"/>
  <c r="C16" i="3"/>
  <c r="F18" i="3"/>
  <c r="F19" i="3" s="1"/>
  <c r="F16" i="3"/>
  <c r="J18" i="3"/>
  <c r="J19" i="3" s="1"/>
  <c r="J16" i="3"/>
  <c r="H18" i="3"/>
  <c r="H19" i="3" s="1"/>
  <c r="H16" i="3"/>
  <c r="D18" i="3"/>
  <c r="D19" i="3" s="1"/>
  <c r="D16" i="3"/>
  <c r="E16" i="3"/>
  <c r="E18" i="3"/>
  <c r="E19" i="3" s="1"/>
  <c r="I16" i="2"/>
  <c r="I18" i="2" s="1"/>
  <c r="I19" i="2" s="1"/>
  <c r="I26" i="2" s="1"/>
  <c r="I27" i="2" s="1"/>
  <c r="I28" i="2" s="1"/>
  <c r="L27" i="1"/>
  <c r="B11" i="3"/>
  <c r="B28" i="1"/>
  <c r="B30" i="1" s="1"/>
  <c r="J12" i="5" l="1"/>
  <c r="I33" i="1"/>
  <c r="B12" i="3"/>
  <c r="L12" i="3" s="1"/>
  <c r="L13" i="3" s="1"/>
  <c r="L11" i="3"/>
  <c r="K23" i="2"/>
  <c r="J16" i="2"/>
  <c r="J18" i="2" s="1"/>
  <c r="J19" i="2" s="1"/>
  <c r="J26" i="2" s="1"/>
  <c r="J27" i="2" s="1"/>
  <c r="J28" i="2" s="1"/>
  <c r="B15" i="3"/>
  <c r="L28" i="1"/>
  <c r="C14" i="2"/>
  <c r="B32" i="1"/>
  <c r="B13" i="3" l="1"/>
  <c r="K12" i="5"/>
  <c r="J33" i="1"/>
  <c r="B16" i="3"/>
  <c r="L15" i="3"/>
  <c r="L16" i="3" s="1"/>
  <c r="L23" i="2"/>
  <c r="K16" i="2"/>
  <c r="K18" i="2" s="1"/>
  <c r="K19" i="2" s="1"/>
  <c r="K26" i="2" s="1"/>
  <c r="K27" i="2" s="1"/>
  <c r="K28" i="2" s="1"/>
  <c r="C15" i="2"/>
  <c r="C19" i="2" s="1"/>
  <c r="C26" i="2" s="1"/>
  <c r="D13" i="2"/>
  <c r="D15" i="2" s="1"/>
  <c r="D19" i="2" s="1"/>
  <c r="D26" i="2" s="1"/>
  <c r="L30" i="1"/>
  <c r="B31" i="1"/>
  <c r="C31" i="1" s="1"/>
  <c r="D31" i="1" s="1"/>
  <c r="E31" i="1" s="1"/>
  <c r="F31" i="1" s="1"/>
  <c r="G31" i="1" s="1"/>
  <c r="H31" i="1" s="1"/>
  <c r="I31" i="1" s="1"/>
  <c r="J31" i="1" s="1"/>
  <c r="K31" i="1" s="1"/>
  <c r="B34" i="1"/>
  <c r="B17" i="3"/>
  <c r="L16" i="2" l="1"/>
  <c r="L18" i="2" s="1"/>
  <c r="L19" i="2" s="1"/>
  <c r="L26" i="2" s="1"/>
  <c r="L27" i="2" s="1"/>
  <c r="L28" i="2" s="1"/>
  <c r="L12" i="5"/>
  <c r="K33" i="1"/>
  <c r="B18" i="3"/>
  <c r="L17" i="3"/>
  <c r="B19" i="3"/>
  <c r="L18" i="3"/>
  <c r="L19" i="3" s="1"/>
  <c r="L31" i="1"/>
  <c r="L34" i="1"/>
  <c r="C35" i="1"/>
  <c r="D27" i="2" s="1"/>
  <c r="D28" i="2" s="1"/>
  <c r="B6" i="4"/>
  <c r="B35" i="1"/>
  <c r="C27" i="2" l="1"/>
  <c r="C28" i="2" s="1"/>
  <c r="L6" i="4"/>
  <c r="B7" i="4"/>
  <c r="L7" i="4" l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</calcChain>
</file>

<file path=xl/sharedStrings.xml><?xml version="1.0" encoding="utf-8"?>
<sst xmlns="http://schemas.openxmlformats.org/spreadsheetml/2006/main" count="116" uniqueCount="98">
  <si>
    <t>Rubriques</t>
  </si>
  <si>
    <t>TOTAL</t>
  </si>
  <si>
    <t>Autres consommations</t>
  </si>
  <si>
    <t>Services extérieurs</t>
  </si>
  <si>
    <t>Charges de personnel</t>
  </si>
  <si>
    <t>Impôts, taxes et versements assimilés</t>
  </si>
  <si>
    <t>Autres produits opérationnels</t>
  </si>
  <si>
    <t>Autres charges opérationnelles</t>
  </si>
  <si>
    <t>Dotations aux amortissements et aux provisions</t>
  </si>
  <si>
    <t>Reprise sur perte de valeur et provisions</t>
  </si>
  <si>
    <t>Produits financiers</t>
  </si>
  <si>
    <t>Charges financières</t>
  </si>
  <si>
    <t>IBS</t>
  </si>
  <si>
    <t>Cumul  Cash flow brut</t>
  </si>
  <si>
    <t xml:space="preserve">Projet </t>
  </si>
  <si>
    <t xml:space="preserve">               LES RESSOURCES</t>
  </si>
  <si>
    <t xml:space="preserve">        LES EMPLOIS</t>
  </si>
  <si>
    <t xml:space="preserve">                   RENTABILITE ET RETOUR SUR INVESTISSEMENT</t>
  </si>
  <si>
    <t>RENTABILITE DU PROJET ET RETOUR SUR INVESTISSEMENT</t>
  </si>
  <si>
    <t>Achats consommés</t>
  </si>
  <si>
    <t>CONSOMMATIONS DE LA PERIODE</t>
  </si>
  <si>
    <t>VALEUR AJOUTEE</t>
  </si>
  <si>
    <t>EXCEDENT BRUT D'EXPLOITATION</t>
  </si>
  <si>
    <t>RESULTAT OPERATIONNEL</t>
  </si>
  <si>
    <t>RESULTAT  FINANCIER</t>
  </si>
  <si>
    <t>RESULTAT ORDINAIRE AVANT IMPOTS</t>
  </si>
  <si>
    <t>RESULTAT  NET</t>
  </si>
  <si>
    <t>Amortissements</t>
  </si>
  <si>
    <t>Cash flow brut</t>
  </si>
  <si>
    <t>Remboursement emprunts en principal</t>
  </si>
  <si>
    <t>Cumul Remboursement emprunts en principal</t>
  </si>
  <si>
    <t>Cash flow net</t>
  </si>
  <si>
    <t xml:space="preserve">Cumul Cash flow net </t>
  </si>
  <si>
    <t>PRODUCTION TOTALE</t>
  </si>
  <si>
    <t>Charges d’exploitation</t>
  </si>
  <si>
    <t xml:space="preserve">Résultat opérationnel </t>
  </si>
  <si>
    <t xml:space="preserve">En % du CA </t>
  </si>
  <si>
    <t>En % du CA</t>
  </si>
  <si>
    <t>Cash falow Actualisé (B)</t>
  </si>
  <si>
    <t>Cash flow net (A)</t>
  </si>
  <si>
    <t>Taux d'actualisation</t>
  </si>
  <si>
    <t xml:space="preserve"> Chiffre d'affaires </t>
  </si>
  <si>
    <t xml:space="preserve"> Variation stocks produits finis et en-cours </t>
  </si>
  <si>
    <t xml:space="preserve"> Production immobilisée </t>
  </si>
  <si>
    <t xml:space="preserve"> Subventions d'exploitation </t>
  </si>
  <si>
    <t>Programme d'investissement</t>
  </si>
  <si>
    <t>Année 2016</t>
  </si>
  <si>
    <t>Année 2017</t>
  </si>
  <si>
    <t>Année 2018</t>
  </si>
  <si>
    <t>Année 2019</t>
  </si>
  <si>
    <t>Année 2020</t>
  </si>
  <si>
    <t>Année 2021</t>
  </si>
  <si>
    <t>Année 2022</t>
  </si>
  <si>
    <t>Année 2023</t>
  </si>
  <si>
    <t>Année 2024</t>
  </si>
  <si>
    <t>Année 2025</t>
  </si>
  <si>
    <t xml:space="preserve">Crédit d'Investissement </t>
  </si>
  <si>
    <t>Total de remboursements par année</t>
  </si>
  <si>
    <t>Cumul de remboursement</t>
  </si>
  <si>
    <t>Montant du Crédit</t>
  </si>
  <si>
    <t>PLANNING DE REMBOURSEMENT DES CREDITS</t>
  </si>
  <si>
    <t>TABLEAU DES FRAIS FINANCIERS</t>
  </si>
  <si>
    <t>Taux d'interets</t>
  </si>
  <si>
    <t>Total des Interets</t>
  </si>
  <si>
    <t>Annees</t>
  </si>
  <si>
    <t>LES BILANS FINANCIERS PREVISIONNELS 2015 – 2025</t>
  </si>
  <si>
    <t xml:space="preserve">Capital social </t>
  </si>
  <si>
    <t xml:space="preserve">Report à nouveau </t>
  </si>
  <si>
    <t>Résultat de l’exercice</t>
  </si>
  <si>
    <t xml:space="preserve">Capitaux Propres </t>
  </si>
  <si>
    <t xml:space="preserve">Endettement bancaire </t>
  </si>
  <si>
    <t xml:space="preserve"> Fournisseurs et autres</t>
  </si>
  <si>
    <t>Total Dettes</t>
  </si>
  <si>
    <t>TOTAL RESSOURCES</t>
  </si>
  <si>
    <t xml:space="preserve">Immobilisations brutes </t>
  </si>
  <si>
    <t xml:space="preserve">Amortissements cumulés </t>
  </si>
  <si>
    <t xml:space="preserve">Valeur nette </t>
  </si>
  <si>
    <t>Stocks</t>
  </si>
  <si>
    <t>Créances</t>
  </si>
  <si>
    <t>Trésorerie</t>
  </si>
  <si>
    <t xml:space="preserve">Actifs circulants </t>
  </si>
  <si>
    <t>TOTAL EMPLOIS</t>
  </si>
  <si>
    <t xml:space="preserve">Autres Charges </t>
  </si>
  <si>
    <r>
      <t>Production Totale</t>
    </r>
    <r>
      <rPr>
        <b/>
        <sz val="9"/>
        <color theme="1"/>
        <rFont val="Times New Roman"/>
        <family val="1"/>
      </rPr>
      <t xml:space="preserve"> </t>
    </r>
  </si>
  <si>
    <t xml:space="preserve">DETERMINATION DE LA VAN </t>
  </si>
  <si>
    <t xml:space="preserve">Principal à rembourser </t>
  </si>
  <si>
    <t>Cash flow nets</t>
  </si>
  <si>
    <t>Cash flow bruts</t>
  </si>
  <si>
    <t>Résultat net</t>
  </si>
  <si>
    <t xml:space="preserve">Stocks en Nbre de Mois </t>
  </si>
  <si>
    <t xml:space="preserve">Créances en Nbre de Mois </t>
  </si>
  <si>
    <t xml:space="preserve">Dettes en Nbre de Mois </t>
  </si>
  <si>
    <t>Autres Crédits</t>
  </si>
  <si>
    <t xml:space="preserve">Valeur Actuelle Nette </t>
  </si>
  <si>
    <t xml:space="preserve">Autres Crédits </t>
  </si>
  <si>
    <t>Reste à rembourser</t>
  </si>
  <si>
    <t xml:space="preserve">Investissement Initial </t>
  </si>
  <si>
    <t>Valeur Residuelle des immobilisations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</si>
</sst>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"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7"/>
      <color rgb="FF010000"/>
      <name val="Times New Roman"/>
      <family val="1"/>
    </font>
    <font>
      <b/>
      <sz val="14"/>
      <color rgb="FF010000"/>
      <name val="Times New Roman"/>
      <family val="1"/>
    </font>
    <font>
      <b/>
      <u val="double"/>
      <sz val="14"/>
      <color rgb="FF01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rgb="FF010000"/>
      <name val="Times New Roman"/>
      <family val="1"/>
    </font>
    <font>
      <b/>
      <sz val="16"/>
      <color theme="1"/>
      <name val="Times New Roman"/>
      <family val="1"/>
    </font>
    <font>
      <b/>
      <sz val="20"/>
      <color rgb="FF01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164" fontId="5" fillId="0" borderId="1" xfId="1" applyNumberFormat="1" applyFont="1" applyFill="1" applyBorder="1" applyAlignment="1" applyProtection="1">
      <alignment horizontal="right" vertical="center"/>
    </xf>
    <xf numFmtId="165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 applyBorder="1" applyAlignment="1">
      <alignment horizont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/>
    <xf numFmtId="165" fontId="3" fillId="0" borderId="1" xfId="1" applyNumberFormat="1" applyFont="1" applyFill="1" applyBorder="1"/>
    <xf numFmtId="0" fontId="5" fillId="0" borderId="1" xfId="0" applyFont="1" applyFill="1" applyBorder="1"/>
    <xf numFmtId="165" fontId="4" fillId="0" borderId="1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0" fontId="9" fillId="0" borderId="0" xfId="0" applyFont="1"/>
    <xf numFmtId="0" fontId="4" fillId="3" borderId="1" xfId="0" applyFont="1" applyFill="1" applyBorder="1"/>
    <xf numFmtId="165" fontId="4" fillId="3" borderId="1" xfId="1" applyNumberFormat="1" applyFont="1" applyFill="1" applyBorder="1"/>
    <xf numFmtId="0" fontId="6" fillId="3" borderId="1" xfId="0" applyFont="1" applyFill="1" applyBorder="1"/>
    <xf numFmtId="165" fontId="3" fillId="3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/>
    <xf numFmtId="0" fontId="4" fillId="3" borderId="1" xfId="0" applyFont="1" applyFill="1" applyBorder="1" applyAlignment="1">
      <alignment wrapText="1"/>
    </xf>
    <xf numFmtId="165" fontId="5" fillId="0" borderId="8" xfId="1" applyNumberFormat="1" applyFont="1" applyFill="1" applyBorder="1" applyAlignment="1">
      <alignment horizontal="right" vertical="center" wrapText="1" indent="1"/>
    </xf>
    <xf numFmtId="165" fontId="5" fillId="0" borderId="7" xfId="1" applyNumberFormat="1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165" fontId="5" fillId="3" borderId="8" xfId="1" applyNumberFormat="1" applyFont="1" applyFill="1" applyBorder="1" applyAlignment="1">
      <alignment horizontal="right" vertical="center" wrapText="1" indent="1"/>
    </xf>
    <xf numFmtId="0" fontId="9" fillId="3" borderId="7" xfId="0" applyFont="1" applyFill="1" applyBorder="1" applyAlignment="1">
      <alignment vertical="center" wrapText="1"/>
    </xf>
    <xf numFmtId="0" fontId="5" fillId="3" borderId="1" xfId="0" applyFont="1" applyFill="1" applyBorder="1"/>
    <xf numFmtId="0" fontId="10" fillId="0" borderId="0" xfId="0" applyFont="1" applyAlignment="1"/>
    <xf numFmtId="0" fontId="15" fillId="0" borderId="0" xfId="0" applyFont="1"/>
    <xf numFmtId="0" fontId="12" fillId="0" borderId="0" xfId="0" applyFont="1" applyAlignment="1"/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165" fontId="15" fillId="0" borderId="8" xfId="1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164" fontId="17" fillId="0" borderId="1" xfId="1" applyNumberFormat="1" applyFont="1" applyFill="1" applyBorder="1" applyAlignment="1" applyProtection="1">
      <alignment horizontal="right" vertical="center"/>
    </xf>
    <xf numFmtId="165" fontId="15" fillId="0" borderId="0" xfId="1" applyNumberFormat="1" applyFont="1" applyAlignment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5" fillId="2" borderId="0" xfId="0" applyFont="1" applyFill="1"/>
    <xf numFmtId="165" fontId="15" fillId="2" borderId="0" xfId="0" applyNumberFormat="1" applyFont="1" applyFill="1"/>
    <xf numFmtId="165" fontId="15" fillId="0" borderId="0" xfId="1" applyNumberFormat="1" applyFont="1"/>
    <xf numFmtId="165" fontId="15" fillId="0" borderId="0" xfId="0" applyNumberFormat="1" applyFont="1"/>
    <xf numFmtId="165" fontId="15" fillId="3" borderId="8" xfId="1" applyNumberFormat="1" applyFont="1" applyFill="1" applyBorder="1" applyAlignment="1">
      <alignment horizontal="center" vertical="center" wrapText="1"/>
    </xf>
    <xf numFmtId="165" fontId="16" fillId="3" borderId="8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/>
    <xf numFmtId="165" fontId="3" fillId="3" borderId="2" xfId="1" applyNumberFormat="1" applyFont="1" applyFill="1" applyBorder="1" applyAlignment="1">
      <alignment horizontal="right"/>
    </xf>
    <xf numFmtId="165" fontId="5" fillId="4" borderId="8" xfId="1" applyNumberFormat="1" applyFont="1" applyFill="1" applyBorder="1" applyAlignment="1">
      <alignment horizontal="right" vertical="center" wrapText="1" indent="1"/>
    </xf>
    <xf numFmtId="165" fontId="15" fillId="0" borderId="0" xfId="0" applyNumberFormat="1" applyFont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 wrapText="1"/>
    </xf>
    <xf numFmtId="165" fontId="13" fillId="3" borderId="11" xfId="1" applyNumberFormat="1" applyFont="1" applyFill="1" applyBorder="1" applyAlignment="1">
      <alignment horizontal="right" vertical="center" wrapText="1"/>
    </xf>
    <xf numFmtId="0" fontId="13" fillId="3" borderId="18" xfId="0" applyFont="1" applyFill="1" applyBorder="1" applyAlignment="1">
      <alignment vertical="center" wrapText="1"/>
    </xf>
    <xf numFmtId="165" fontId="13" fillId="3" borderId="18" xfId="1" applyNumberFormat="1" applyFont="1" applyFill="1" applyBorder="1" applyAlignment="1">
      <alignment horizontal="right" vertical="center" wrapText="1"/>
    </xf>
    <xf numFmtId="0" fontId="14" fillId="3" borderId="19" xfId="0" applyFont="1" applyFill="1" applyBorder="1" applyAlignment="1">
      <alignment vertical="center" wrapText="1"/>
    </xf>
    <xf numFmtId="165" fontId="13" fillId="3" borderId="19" xfId="1" applyNumberFormat="1" applyFont="1" applyFill="1" applyBorder="1" applyAlignment="1">
      <alignment horizontal="right" vertical="center" wrapText="1"/>
    </xf>
    <xf numFmtId="0" fontId="19" fillId="3" borderId="20" xfId="0" applyFont="1" applyFill="1" applyBorder="1" applyAlignment="1">
      <alignment vertical="center" wrapText="1"/>
    </xf>
    <xf numFmtId="9" fontId="19" fillId="3" borderId="21" xfId="2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vertical="center" wrapText="1"/>
    </xf>
    <xf numFmtId="165" fontId="13" fillId="3" borderId="19" xfId="1" applyNumberFormat="1" applyFont="1" applyFill="1" applyBorder="1" applyAlignment="1">
      <alignment horizontal="center" vertical="center" wrapText="1"/>
    </xf>
    <xf numFmtId="165" fontId="13" fillId="3" borderId="18" xfId="1" applyNumberFormat="1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0" fontId="19" fillId="0" borderId="11" xfId="0" applyFont="1" applyBorder="1"/>
    <xf numFmtId="43" fontId="6" fillId="0" borderId="8" xfId="1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3" borderId="11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3" borderId="11" xfId="1" applyNumberFormat="1" applyFont="1" applyFill="1" applyBorder="1" applyAlignment="1">
      <alignment vertical="center"/>
    </xf>
    <xf numFmtId="165" fontId="9" fillId="3" borderId="11" xfId="1" applyNumberFormat="1" applyFont="1" applyFill="1" applyBorder="1" applyAlignment="1">
      <alignment vertical="center"/>
    </xf>
    <xf numFmtId="165" fontId="7" fillId="3" borderId="11" xfId="0" applyNumberFormat="1" applyFont="1" applyFill="1" applyBorder="1" applyAlignment="1">
      <alignment vertical="center"/>
    </xf>
    <xf numFmtId="165" fontId="9" fillId="3" borderId="11" xfId="0" applyNumberFormat="1" applyFont="1" applyFill="1" applyBorder="1" applyAlignment="1">
      <alignment vertical="center"/>
    </xf>
    <xf numFmtId="165" fontId="9" fillId="3" borderId="11" xfId="1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22"/>
  <sheetViews>
    <sheetView workbookViewId="0">
      <selection activeCell="C21" sqref="C21"/>
    </sheetView>
  </sheetViews>
  <sheetFormatPr baseColWidth="10" defaultRowHeight="15" x14ac:dyDescent="0.25"/>
  <cols>
    <col min="1" max="1" width="35.42578125" style="4" bestFit="1" customWidth="1"/>
    <col min="2" max="2" width="18" style="4" customWidth="1"/>
    <col min="3" max="12" width="13.5703125" style="4" customWidth="1"/>
    <col min="13" max="16384" width="11.42578125" style="4"/>
  </cols>
  <sheetData>
    <row r="4" spans="1:12" x14ac:dyDescent="0.25">
      <c r="A4" s="74" t="s">
        <v>60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15.75" thickBot="1" x14ac:dyDescent="0.3"/>
    <row r="6" spans="1:12" s="13" customFormat="1" ht="14.25" x14ac:dyDescent="0.2">
      <c r="A6" s="75" t="s">
        <v>45</v>
      </c>
      <c r="B6" s="77" t="s">
        <v>59</v>
      </c>
      <c r="C6" s="72" t="s">
        <v>46</v>
      </c>
      <c r="D6" s="72" t="s">
        <v>47</v>
      </c>
      <c r="E6" s="72" t="s">
        <v>48</v>
      </c>
      <c r="F6" s="72" t="s">
        <v>49</v>
      </c>
      <c r="G6" s="72" t="s">
        <v>50</v>
      </c>
      <c r="H6" s="72" t="s">
        <v>51</v>
      </c>
      <c r="I6" s="72" t="s">
        <v>52</v>
      </c>
      <c r="J6" s="72" t="s">
        <v>53</v>
      </c>
      <c r="K6" s="72" t="s">
        <v>54</v>
      </c>
      <c r="L6" s="72" t="s">
        <v>55</v>
      </c>
    </row>
    <row r="7" spans="1:12" s="13" customFormat="1" thickBot="1" x14ac:dyDescent="0.25">
      <c r="A7" s="76"/>
      <c r="B7" s="78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ht="15.75" thickBot="1" x14ac:dyDescent="0.3">
      <c r="A8" s="29" t="s">
        <v>56</v>
      </c>
      <c r="B8" s="23">
        <v>500000</v>
      </c>
      <c r="C8" s="23">
        <f>$B$8/10</f>
        <v>50000</v>
      </c>
      <c r="D8" s="23">
        <f t="shared" ref="D8:L8" si="0">$B$8/10</f>
        <v>50000</v>
      </c>
      <c r="E8" s="23">
        <f t="shared" si="0"/>
        <v>50000</v>
      </c>
      <c r="F8" s="23">
        <f t="shared" si="0"/>
        <v>50000</v>
      </c>
      <c r="G8" s="23">
        <f t="shared" si="0"/>
        <v>50000</v>
      </c>
      <c r="H8" s="23">
        <f t="shared" si="0"/>
        <v>50000</v>
      </c>
      <c r="I8" s="23">
        <f t="shared" si="0"/>
        <v>50000</v>
      </c>
      <c r="J8" s="23">
        <f t="shared" si="0"/>
        <v>50000</v>
      </c>
      <c r="K8" s="23">
        <f t="shared" si="0"/>
        <v>50000</v>
      </c>
      <c r="L8" s="23">
        <f t="shared" si="0"/>
        <v>50000</v>
      </c>
    </row>
    <row r="9" spans="1:12" ht="15.75" thickBot="1" x14ac:dyDescent="0.3">
      <c r="A9" s="29" t="s">
        <v>94</v>
      </c>
      <c r="B9" s="23">
        <v>200000</v>
      </c>
      <c r="C9" s="24">
        <f>$B$9/3</f>
        <v>66666.666666666672</v>
      </c>
      <c r="D9" s="24">
        <f t="shared" ref="D9:E9" si="1">$B$9/3</f>
        <v>66666.666666666672</v>
      </c>
      <c r="E9" s="24">
        <f t="shared" si="1"/>
        <v>66666.666666666672</v>
      </c>
      <c r="F9" s="24"/>
      <c r="G9" s="24"/>
      <c r="H9" s="24"/>
      <c r="I9" s="24"/>
      <c r="J9" s="24"/>
      <c r="K9" s="24"/>
      <c r="L9" s="24"/>
    </row>
    <row r="10" spans="1:12" ht="15.75" thickBot="1" x14ac:dyDescent="0.3">
      <c r="A10" s="29" t="s">
        <v>57</v>
      </c>
      <c r="B10" s="28">
        <f>B9+B8</f>
        <v>700000</v>
      </c>
      <c r="C10" s="28">
        <f>SUM(C8:C9)</f>
        <v>116666.66666666667</v>
      </c>
      <c r="D10" s="28">
        <f t="shared" ref="D10:L10" si="2">SUM(D8:D9)</f>
        <v>116666.66666666667</v>
      </c>
      <c r="E10" s="28">
        <f t="shared" si="2"/>
        <v>116666.66666666667</v>
      </c>
      <c r="F10" s="28">
        <f t="shared" si="2"/>
        <v>50000</v>
      </c>
      <c r="G10" s="28">
        <f t="shared" si="2"/>
        <v>50000</v>
      </c>
      <c r="H10" s="28">
        <f t="shared" si="2"/>
        <v>50000</v>
      </c>
      <c r="I10" s="28">
        <f t="shared" si="2"/>
        <v>50000</v>
      </c>
      <c r="J10" s="28">
        <f t="shared" si="2"/>
        <v>50000</v>
      </c>
      <c r="K10" s="28">
        <f t="shared" si="2"/>
        <v>50000</v>
      </c>
      <c r="L10" s="28">
        <f t="shared" si="2"/>
        <v>50000</v>
      </c>
    </row>
    <row r="11" spans="1:12" ht="15.75" thickBot="1" x14ac:dyDescent="0.3">
      <c r="A11" s="29" t="s">
        <v>58</v>
      </c>
      <c r="B11" s="54"/>
      <c r="C11" s="28">
        <f>C10</f>
        <v>116666.66666666667</v>
      </c>
      <c r="D11" s="28">
        <f>C11+D10</f>
        <v>233333.33333333334</v>
      </c>
      <c r="E11" s="28">
        <f t="shared" ref="E11:L11" si="3">D11+E10</f>
        <v>350000</v>
      </c>
      <c r="F11" s="28">
        <f t="shared" si="3"/>
        <v>400000</v>
      </c>
      <c r="G11" s="28">
        <f t="shared" si="3"/>
        <v>450000</v>
      </c>
      <c r="H11" s="28">
        <f t="shared" si="3"/>
        <v>500000</v>
      </c>
      <c r="I11" s="28">
        <f t="shared" si="3"/>
        <v>550000</v>
      </c>
      <c r="J11" s="28">
        <f t="shared" si="3"/>
        <v>600000</v>
      </c>
      <c r="K11" s="28">
        <f t="shared" si="3"/>
        <v>650000</v>
      </c>
      <c r="L11" s="28">
        <f t="shared" si="3"/>
        <v>700000</v>
      </c>
    </row>
    <row r="12" spans="1:12" ht="15.75" thickBot="1" x14ac:dyDescent="0.3">
      <c r="A12" s="29" t="s">
        <v>95</v>
      </c>
      <c r="B12" s="54"/>
      <c r="C12" s="28">
        <f>$B$10-C11</f>
        <v>583333.33333333337</v>
      </c>
      <c r="D12" s="28">
        <f t="shared" ref="D12:L12" si="4">$B$10-D11</f>
        <v>466666.66666666663</v>
      </c>
      <c r="E12" s="28">
        <f t="shared" si="4"/>
        <v>350000</v>
      </c>
      <c r="F12" s="28">
        <f t="shared" si="4"/>
        <v>300000</v>
      </c>
      <c r="G12" s="28">
        <f t="shared" si="4"/>
        <v>250000</v>
      </c>
      <c r="H12" s="28">
        <f t="shared" si="4"/>
        <v>200000</v>
      </c>
      <c r="I12" s="28">
        <f t="shared" si="4"/>
        <v>150000</v>
      </c>
      <c r="J12" s="28">
        <f t="shared" si="4"/>
        <v>100000</v>
      </c>
      <c r="K12" s="28">
        <f t="shared" si="4"/>
        <v>50000</v>
      </c>
      <c r="L12" s="28">
        <f t="shared" si="4"/>
        <v>0</v>
      </c>
    </row>
    <row r="15" spans="1:12" x14ac:dyDescent="0.25">
      <c r="A15" s="74" t="s">
        <v>61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 s="27" customForma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5.75" thickBot="1" x14ac:dyDescent="0.3"/>
    <row r="18" spans="1:12" x14ac:dyDescent="0.25">
      <c r="A18" s="75" t="s">
        <v>45</v>
      </c>
      <c r="B18" s="77" t="s">
        <v>62</v>
      </c>
      <c r="C18" s="72" t="s">
        <v>46</v>
      </c>
      <c r="D18" s="72" t="s">
        <v>47</v>
      </c>
      <c r="E18" s="72" t="s">
        <v>48</v>
      </c>
      <c r="F18" s="72" t="s">
        <v>49</v>
      </c>
      <c r="G18" s="72" t="s">
        <v>50</v>
      </c>
      <c r="H18" s="72" t="s">
        <v>51</v>
      </c>
      <c r="I18" s="72" t="s">
        <v>52</v>
      </c>
      <c r="J18" s="72" t="s">
        <v>53</v>
      </c>
      <c r="K18" s="72" t="s">
        <v>54</v>
      </c>
      <c r="L18" s="72" t="s">
        <v>55</v>
      </c>
    </row>
    <row r="19" spans="1:12" ht="15.75" thickBot="1" x14ac:dyDescent="0.3">
      <c r="A19" s="76"/>
      <c r="B19" s="78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ht="15.75" thickBot="1" x14ac:dyDescent="0.3">
      <c r="A20" s="29" t="s">
        <v>56</v>
      </c>
      <c r="B20" s="71">
        <v>6.25</v>
      </c>
      <c r="C20" s="28">
        <f>B8*B16/100</f>
        <v>0</v>
      </c>
      <c r="D20" s="28">
        <f>+(B8-C8)*B20/100</f>
        <v>28125</v>
      </c>
      <c r="E20" s="28">
        <f>+(B8-D8-C8)*B20/100</f>
        <v>25000</v>
      </c>
      <c r="F20" s="28">
        <f>+(B8-E8-D8-C8)*B20/100</f>
        <v>21875</v>
      </c>
      <c r="G20" s="28">
        <f>+(B8-C8-F8-E8-D8)*B20/100</f>
        <v>18750</v>
      </c>
      <c r="H20" s="28">
        <f>+(B8-C8-D8-G8-F8-E8)*B20/100</f>
        <v>15625</v>
      </c>
      <c r="I20" s="28">
        <f>+(B8-C8-D8-E8-H8-G8-F8)*B20/100</f>
        <v>12500</v>
      </c>
      <c r="J20" s="28">
        <f>+(B8-C8-D8-E8-F8-I8-H8-G8)*B20/100</f>
        <v>9375</v>
      </c>
      <c r="K20" s="28">
        <f>+(B8-C8-D8-E8-F8-G8-J8-I8-H8)*B20/100</f>
        <v>6250</v>
      </c>
      <c r="L20" s="28">
        <f>+(B8-C8-D8-E8-F8-G8-H8-K8-J8-I8)*B20/100</f>
        <v>3125</v>
      </c>
    </row>
    <row r="21" spans="1:12" ht="15.75" thickBot="1" x14ac:dyDescent="0.3">
      <c r="A21" s="29" t="s">
        <v>92</v>
      </c>
      <c r="B21" s="71">
        <v>8</v>
      </c>
      <c r="C21" s="28">
        <f>B9*B17/100</f>
        <v>0</v>
      </c>
      <c r="D21" s="28">
        <f>+(B9-C9)*B21/100</f>
        <v>10666.666666666664</v>
      </c>
      <c r="E21" s="28">
        <f>+(B9-D9-C9)*B21/100</f>
        <v>5333.3333333333312</v>
      </c>
      <c r="F21" s="28">
        <f>+(B9-E9-D9-C9)*B21/100</f>
        <v>-2.3283064365386963E-12</v>
      </c>
      <c r="G21" s="28">
        <f>+(B9-C9-F9-E9-D9)*B21/100</f>
        <v>-2.3283064365386963E-12</v>
      </c>
      <c r="H21" s="28">
        <f>+(B9-C9-D9-G9-F9-E9)*B21/100</f>
        <v>-2.3283064365386963E-12</v>
      </c>
      <c r="I21" s="28">
        <f>+(B9-C9-D9-E9-H9-G9-F9)*B21/100</f>
        <v>-2.3283064365386963E-12</v>
      </c>
      <c r="J21" s="28">
        <f>+(B9-C9-D9-E9-F9-I9-H9-G9)*B21/100</f>
        <v>-2.3283064365386963E-12</v>
      </c>
      <c r="K21" s="28">
        <f>+(B9-C9-D9-E9-F9-G9-J9-I9-H9)*B21/100</f>
        <v>-2.3283064365386963E-12</v>
      </c>
      <c r="L21" s="28">
        <f>+(B9-C9-D9-E9-F9-G9-H9-K9-J9-I9)*B21/100</f>
        <v>-2.3283064365386963E-12</v>
      </c>
    </row>
    <row r="22" spans="1:12" ht="15.75" thickBot="1" x14ac:dyDescent="0.3">
      <c r="A22" s="29" t="s">
        <v>63</v>
      </c>
      <c r="B22" s="28"/>
      <c r="C22" s="28">
        <f>SUM(C20:C21)</f>
        <v>0</v>
      </c>
      <c r="D22" s="28">
        <f t="shared" ref="D22" si="5">SUM(D20:D21)</f>
        <v>38791.666666666664</v>
      </c>
      <c r="E22" s="28">
        <f t="shared" ref="E22" si="6">SUM(E20:E21)</f>
        <v>30333.333333333332</v>
      </c>
      <c r="F22" s="28">
        <f t="shared" ref="F22" si="7">SUM(F20:F21)</f>
        <v>21874.999999999996</v>
      </c>
      <c r="G22" s="28">
        <f t="shared" ref="G22" si="8">SUM(G20:G21)</f>
        <v>18749.999999999996</v>
      </c>
      <c r="H22" s="28">
        <f t="shared" ref="H22" si="9">SUM(H20:H21)</f>
        <v>15624.999999999998</v>
      </c>
      <c r="I22" s="28">
        <f t="shared" ref="I22" si="10">SUM(I20:I21)</f>
        <v>12499.999999999998</v>
      </c>
      <c r="J22" s="28">
        <f t="shared" ref="J22" si="11">SUM(J20:J21)</f>
        <v>9374.9999999999982</v>
      </c>
      <c r="K22" s="28">
        <f t="shared" ref="K22" si="12">SUM(K20:K21)</f>
        <v>6249.9999999999973</v>
      </c>
      <c r="L22" s="28">
        <f t="shared" ref="L22" si="13">SUM(L20:L21)</f>
        <v>3124.9999999999977</v>
      </c>
    </row>
  </sheetData>
  <mergeCells count="26"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I18:I19"/>
    <mergeCell ref="J18:J19"/>
    <mergeCell ref="K18:K19"/>
    <mergeCell ref="L18:L19"/>
    <mergeCell ref="A4:L4"/>
    <mergeCell ref="A15:L15"/>
    <mergeCell ref="A18:A19"/>
    <mergeCell ref="B18:B19"/>
    <mergeCell ref="C18:C19"/>
    <mergeCell ref="D18:D19"/>
    <mergeCell ref="E18:E19"/>
    <mergeCell ref="F18:F19"/>
    <mergeCell ref="G18:G19"/>
    <mergeCell ref="H18:H19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view="pageBreakPreview" topLeftCell="A13" zoomScaleNormal="70" zoomScaleSheetLayoutView="100" workbookViewId="0">
      <selection activeCell="B30" sqref="B30"/>
    </sheetView>
  </sheetViews>
  <sheetFormatPr baseColWidth="10" defaultRowHeight="15" x14ac:dyDescent="0.25"/>
  <cols>
    <col min="1" max="1" width="50.85546875" style="5" customWidth="1"/>
    <col min="2" max="2" width="11.42578125" style="5" customWidth="1"/>
    <col min="3" max="3" width="13" style="5" customWidth="1"/>
    <col min="4" max="4" width="12.85546875" style="5" customWidth="1"/>
    <col min="5" max="5" width="13.140625" style="5" customWidth="1"/>
    <col min="6" max="6" width="13.85546875" style="5" customWidth="1"/>
    <col min="7" max="8" width="13.85546875" style="5" bestFit="1" customWidth="1"/>
    <col min="9" max="9" width="12.85546875" style="5" customWidth="1"/>
    <col min="10" max="10" width="12" style="5" customWidth="1"/>
    <col min="11" max="11" width="12.28515625" style="5" customWidth="1"/>
    <col min="12" max="12" width="14.5703125" style="5" customWidth="1"/>
    <col min="13" max="16384" width="11.42578125" style="5"/>
  </cols>
  <sheetData>
    <row r="1" spans="1:12" ht="20.25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3.25" thickBo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 thickBot="1" x14ac:dyDescent="0.3">
      <c r="A3" s="81" t="s">
        <v>0</v>
      </c>
      <c r="B3" s="79">
        <v>2016</v>
      </c>
      <c r="C3" s="79">
        <v>2017</v>
      </c>
      <c r="D3" s="79">
        <v>2018</v>
      </c>
      <c r="E3" s="79">
        <v>2019</v>
      </c>
      <c r="F3" s="79">
        <v>2020</v>
      </c>
      <c r="G3" s="79">
        <v>2021</v>
      </c>
      <c r="H3" s="79">
        <v>2022</v>
      </c>
      <c r="I3" s="79">
        <v>2023</v>
      </c>
      <c r="J3" s="79">
        <v>2024</v>
      </c>
      <c r="K3" s="79">
        <v>2025</v>
      </c>
      <c r="L3" s="79" t="s">
        <v>1</v>
      </c>
    </row>
    <row r="4" spans="1:12" ht="15.75" thickBot="1" x14ac:dyDescent="0.3">
      <c r="A4" s="81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15.75" thickBot="1" x14ac:dyDescent="0.3">
      <c r="A5" s="8" t="s">
        <v>41</v>
      </c>
      <c r="B5" s="7">
        <v>350000</v>
      </c>
      <c r="C5" s="7">
        <v>350000</v>
      </c>
      <c r="D5" s="7">
        <v>350000</v>
      </c>
      <c r="E5" s="7">
        <v>350000</v>
      </c>
      <c r="F5" s="7">
        <v>350000</v>
      </c>
      <c r="G5" s="7">
        <v>350000</v>
      </c>
      <c r="H5" s="7">
        <v>350000</v>
      </c>
      <c r="I5" s="7">
        <v>350000</v>
      </c>
      <c r="J5" s="7">
        <v>350000</v>
      </c>
      <c r="K5" s="7">
        <v>350000</v>
      </c>
      <c r="L5" s="53">
        <f>SUM(B5:K5)</f>
        <v>3500000</v>
      </c>
    </row>
    <row r="6" spans="1:12" ht="15.75" thickBot="1" x14ac:dyDescent="0.3">
      <c r="A6" s="8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7">
        <f t="shared" ref="L6:L34" si="0">SUM(B6:K6)</f>
        <v>0</v>
      </c>
    </row>
    <row r="7" spans="1:12" ht="15.75" thickBot="1" x14ac:dyDescent="0.3">
      <c r="A7" s="8" t="s">
        <v>43</v>
      </c>
      <c r="B7" s="1"/>
      <c r="C7" s="1"/>
      <c r="D7" s="1"/>
      <c r="E7" s="1"/>
      <c r="F7" s="1"/>
      <c r="G7" s="1"/>
      <c r="H7" s="1"/>
      <c r="I7" s="1"/>
      <c r="J7" s="1"/>
      <c r="K7" s="1"/>
      <c r="L7" s="17">
        <f t="shared" si="0"/>
        <v>0</v>
      </c>
    </row>
    <row r="8" spans="1:12" ht="15.75" thickBot="1" x14ac:dyDescent="0.3">
      <c r="A8" s="8" t="s">
        <v>44</v>
      </c>
      <c r="B8" s="9"/>
      <c r="C8" s="9"/>
      <c r="D8" s="9"/>
      <c r="E8" s="9"/>
      <c r="F8" s="9"/>
      <c r="G8" s="9"/>
      <c r="H8" s="9"/>
      <c r="I8" s="9"/>
      <c r="J8" s="9"/>
      <c r="K8" s="9"/>
      <c r="L8" s="21">
        <f t="shared" si="0"/>
        <v>0</v>
      </c>
    </row>
    <row r="9" spans="1:12" ht="15.75" thickBot="1" x14ac:dyDescent="0.3">
      <c r="A9" s="14" t="s">
        <v>33</v>
      </c>
      <c r="B9" s="15">
        <f>B8+B7+B6+B5</f>
        <v>350000</v>
      </c>
      <c r="C9" s="15">
        <f t="shared" ref="C9:K9" si="1">C8+C7+C6+C5</f>
        <v>350000</v>
      </c>
      <c r="D9" s="15">
        <f t="shared" si="1"/>
        <v>350000</v>
      </c>
      <c r="E9" s="15">
        <f t="shared" si="1"/>
        <v>350000</v>
      </c>
      <c r="F9" s="15">
        <f t="shared" si="1"/>
        <v>350000</v>
      </c>
      <c r="G9" s="15">
        <f t="shared" si="1"/>
        <v>350000</v>
      </c>
      <c r="H9" s="15">
        <f t="shared" si="1"/>
        <v>350000</v>
      </c>
      <c r="I9" s="15">
        <f t="shared" si="1"/>
        <v>350000</v>
      </c>
      <c r="J9" s="15">
        <f t="shared" si="1"/>
        <v>350000</v>
      </c>
      <c r="K9" s="15">
        <f t="shared" si="1"/>
        <v>350000</v>
      </c>
      <c r="L9" s="15">
        <f t="shared" si="0"/>
        <v>3500000</v>
      </c>
    </row>
    <row r="10" spans="1:12" ht="15.75" thickBot="1" x14ac:dyDescent="0.3">
      <c r="A10" s="8" t="s">
        <v>19</v>
      </c>
      <c r="B10" s="1">
        <v>100000</v>
      </c>
      <c r="C10" s="1">
        <v>100001</v>
      </c>
      <c r="D10" s="1">
        <v>100002</v>
      </c>
      <c r="E10" s="1">
        <v>100003</v>
      </c>
      <c r="F10" s="1">
        <v>100004</v>
      </c>
      <c r="G10" s="1">
        <v>100005</v>
      </c>
      <c r="H10" s="1">
        <v>100006</v>
      </c>
      <c r="I10" s="1">
        <v>100007</v>
      </c>
      <c r="J10" s="1">
        <v>100008</v>
      </c>
      <c r="K10" s="1">
        <v>100009</v>
      </c>
      <c r="L10" s="17">
        <f t="shared" si="0"/>
        <v>1000045</v>
      </c>
    </row>
    <row r="11" spans="1:12" ht="15.75" thickBot="1" x14ac:dyDescent="0.3">
      <c r="A11" s="8" t="s">
        <v>2</v>
      </c>
      <c r="B11" s="2">
        <v>20000</v>
      </c>
      <c r="C11" s="2">
        <v>20000</v>
      </c>
      <c r="D11" s="2">
        <v>20000</v>
      </c>
      <c r="E11" s="2">
        <v>20000</v>
      </c>
      <c r="F11" s="2">
        <v>20000</v>
      </c>
      <c r="G11" s="2">
        <v>20000</v>
      </c>
      <c r="H11" s="2">
        <v>20000</v>
      </c>
      <c r="I11" s="2">
        <v>20000</v>
      </c>
      <c r="J11" s="2">
        <v>20000</v>
      </c>
      <c r="K11" s="2">
        <v>20000</v>
      </c>
      <c r="L11" s="18">
        <f t="shared" si="0"/>
        <v>200000</v>
      </c>
    </row>
    <row r="12" spans="1:12" ht="15.75" thickBot="1" x14ac:dyDescent="0.3">
      <c r="A12" s="10" t="s">
        <v>3</v>
      </c>
      <c r="B12" s="2">
        <v>34000</v>
      </c>
      <c r="C12" s="2">
        <v>34000</v>
      </c>
      <c r="D12" s="2">
        <v>34000</v>
      </c>
      <c r="E12" s="2">
        <v>34000</v>
      </c>
      <c r="F12" s="2">
        <v>34000</v>
      </c>
      <c r="G12" s="2">
        <v>34000</v>
      </c>
      <c r="H12" s="2">
        <v>34000</v>
      </c>
      <c r="I12" s="2">
        <v>34000</v>
      </c>
      <c r="J12" s="2">
        <v>34000</v>
      </c>
      <c r="K12" s="2">
        <v>34000</v>
      </c>
      <c r="L12" s="18">
        <f t="shared" si="0"/>
        <v>340000</v>
      </c>
    </row>
    <row r="13" spans="1:12" ht="15.75" thickBot="1" x14ac:dyDescent="0.3">
      <c r="A13" s="16" t="s">
        <v>20</v>
      </c>
      <c r="B13" s="17">
        <f>B12+B11+B10</f>
        <v>154000</v>
      </c>
      <c r="C13" s="17">
        <f t="shared" ref="C13:K13" si="2">C12+C11+C10</f>
        <v>154001</v>
      </c>
      <c r="D13" s="17">
        <f t="shared" si="2"/>
        <v>154002</v>
      </c>
      <c r="E13" s="17">
        <f t="shared" si="2"/>
        <v>154003</v>
      </c>
      <c r="F13" s="17">
        <f t="shared" si="2"/>
        <v>154004</v>
      </c>
      <c r="G13" s="17">
        <f t="shared" si="2"/>
        <v>154005</v>
      </c>
      <c r="H13" s="17">
        <f t="shared" si="2"/>
        <v>154006</v>
      </c>
      <c r="I13" s="17">
        <f t="shared" si="2"/>
        <v>154007</v>
      </c>
      <c r="J13" s="17">
        <f t="shared" si="2"/>
        <v>154008</v>
      </c>
      <c r="K13" s="17">
        <f t="shared" si="2"/>
        <v>154009</v>
      </c>
      <c r="L13" s="18">
        <f t="shared" si="0"/>
        <v>1540045</v>
      </c>
    </row>
    <row r="14" spans="1:12" ht="15.75" thickBot="1" x14ac:dyDescent="0.3">
      <c r="A14" s="16" t="s">
        <v>21</v>
      </c>
      <c r="B14" s="19">
        <f>B9-B13</f>
        <v>196000</v>
      </c>
      <c r="C14" s="19">
        <f t="shared" ref="C14:K14" si="3">C9-C13</f>
        <v>195999</v>
      </c>
      <c r="D14" s="19">
        <f t="shared" si="3"/>
        <v>195998</v>
      </c>
      <c r="E14" s="19">
        <f t="shared" si="3"/>
        <v>195997</v>
      </c>
      <c r="F14" s="19">
        <f t="shared" si="3"/>
        <v>195996</v>
      </c>
      <c r="G14" s="19">
        <f t="shared" si="3"/>
        <v>195995</v>
      </c>
      <c r="H14" s="19">
        <f t="shared" si="3"/>
        <v>195994</v>
      </c>
      <c r="I14" s="19">
        <f t="shared" si="3"/>
        <v>195993</v>
      </c>
      <c r="J14" s="19">
        <f t="shared" si="3"/>
        <v>195992</v>
      </c>
      <c r="K14" s="19">
        <f t="shared" si="3"/>
        <v>195991</v>
      </c>
      <c r="L14" s="19">
        <f t="shared" si="0"/>
        <v>1959955</v>
      </c>
    </row>
    <row r="15" spans="1:12" ht="15.75" thickBot="1" x14ac:dyDescent="0.3">
      <c r="A15" s="10" t="s">
        <v>4</v>
      </c>
      <c r="B15" s="2">
        <v>20000</v>
      </c>
      <c r="C15" s="2">
        <v>20000</v>
      </c>
      <c r="D15" s="2">
        <v>20000</v>
      </c>
      <c r="E15" s="2">
        <v>20000</v>
      </c>
      <c r="F15" s="2">
        <v>20000</v>
      </c>
      <c r="G15" s="2">
        <v>20000</v>
      </c>
      <c r="H15" s="2">
        <v>20000</v>
      </c>
      <c r="I15" s="2">
        <v>20000</v>
      </c>
      <c r="J15" s="2">
        <v>20000</v>
      </c>
      <c r="K15" s="2">
        <v>20000</v>
      </c>
      <c r="L15" s="18">
        <f t="shared" si="0"/>
        <v>200000</v>
      </c>
    </row>
    <row r="16" spans="1:12" ht="15.75" thickBot="1" x14ac:dyDescent="0.3">
      <c r="A16" s="10" t="s">
        <v>5</v>
      </c>
      <c r="B16" s="2">
        <f>B5*0.04</f>
        <v>14000</v>
      </c>
      <c r="C16" s="2">
        <f t="shared" ref="C16:I16" si="4">C5*0.04</f>
        <v>14000</v>
      </c>
      <c r="D16" s="2">
        <f t="shared" si="4"/>
        <v>14000</v>
      </c>
      <c r="E16" s="2">
        <f t="shared" si="4"/>
        <v>14000</v>
      </c>
      <c r="F16" s="2">
        <f t="shared" si="4"/>
        <v>14000</v>
      </c>
      <c r="G16" s="2">
        <f t="shared" si="4"/>
        <v>14000</v>
      </c>
      <c r="H16" s="2">
        <f t="shared" si="4"/>
        <v>14000</v>
      </c>
      <c r="I16" s="2">
        <f t="shared" si="4"/>
        <v>14000</v>
      </c>
      <c r="J16" s="2"/>
      <c r="K16" s="2"/>
      <c r="L16" s="18">
        <f t="shared" si="0"/>
        <v>112000</v>
      </c>
    </row>
    <row r="17" spans="1:12" ht="15.75" thickBot="1" x14ac:dyDescent="0.3">
      <c r="A17" s="16" t="s">
        <v>22</v>
      </c>
      <c r="B17" s="19">
        <f>B14-B15-B16</f>
        <v>162000</v>
      </c>
      <c r="C17" s="19">
        <f t="shared" ref="C17:K17" si="5">C14-C15-C16</f>
        <v>161999</v>
      </c>
      <c r="D17" s="19">
        <f t="shared" si="5"/>
        <v>161998</v>
      </c>
      <c r="E17" s="19">
        <f t="shared" si="5"/>
        <v>161997</v>
      </c>
      <c r="F17" s="19">
        <f t="shared" si="5"/>
        <v>161996</v>
      </c>
      <c r="G17" s="19">
        <f t="shared" si="5"/>
        <v>161995</v>
      </c>
      <c r="H17" s="19">
        <f t="shared" si="5"/>
        <v>161994</v>
      </c>
      <c r="I17" s="19">
        <f t="shared" si="5"/>
        <v>161993</v>
      </c>
      <c r="J17" s="19">
        <f t="shared" si="5"/>
        <v>175992</v>
      </c>
      <c r="K17" s="19">
        <f t="shared" si="5"/>
        <v>175991</v>
      </c>
      <c r="L17" s="20">
        <f t="shared" si="0"/>
        <v>1647955</v>
      </c>
    </row>
    <row r="18" spans="1:12" ht="15.75" thickBot="1" x14ac:dyDescent="0.3">
      <c r="A18" s="10" t="s">
        <v>6</v>
      </c>
      <c r="B18" s="11"/>
      <c r="C18" s="11"/>
      <c r="D18" s="11"/>
      <c r="E18" s="11"/>
      <c r="F18" s="2"/>
      <c r="G18" s="11"/>
      <c r="H18" s="11"/>
      <c r="I18" s="2"/>
      <c r="J18" s="2"/>
      <c r="K18" s="3"/>
      <c r="L18" s="18">
        <f t="shared" si="0"/>
        <v>0</v>
      </c>
    </row>
    <row r="19" spans="1:12" ht="15.75" thickBot="1" x14ac:dyDescent="0.3">
      <c r="A19" s="10" t="s">
        <v>7</v>
      </c>
      <c r="B19" s="2"/>
      <c r="C19" s="2"/>
      <c r="D19" s="2"/>
      <c r="E19" s="2"/>
      <c r="F19" s="2"/>
      <c r="G19" s="2"/>
      <c r="H19" s="2"/>
      <c r="I19" s="2"/>
      <c r="J19" s="2"/>
      <c r="K19" s="3"/>
      <c r="L19" s="18">
        <f t="shared" si="0"/>
        <v>0</v>
      </c>
    </row>
    <row r="20" spans="1:12" ht="15.75" thickBot="1" x14ac:dyDescent="0.3">
      <c r="A20" s="10" t="s">
        <v>8</v>
      </c>
      <c r="B20" s="2">
        <v>20000</v>
      </c>
      <c r="C20" s="2">
        <v>20000</v>
      </c>
      <c r="D20" s="2">
        <v>20000</v>
      </c>
      <c r="E20" s="2">
        <v>20000</v>
      </c>
      <c r="F20" s="2">
        <v>20000</v>
      </c>
      <c r="G20" s="2">
        <v>20000</v>
      </c>
      <c r="H20" s="2">
        <v>20000</v>
      </c>
      <c r="I20" s="2">
        <v>20000</v>
      </c>
      <c r="J20" s="2">
        <v>20000</v>
      </c>
      <c r="K20" s="2">
        <v>20000</v>
      </c>
      <c r="L20" s="18">
        <f t="shared" si="0"/>
        <v>200000</v>
      </c>
    </row>
    <row r="21" spans="1:12" ht="15.75" thickBot="1" x14ac:dyDescent="0.3">
      <c r="A21" s="10" t="s">
        <v>9</v>
      </c>
      <c r="B21" s="2"/>
      <c r="C21" s="2"/>
      <c r="D21" s="2"/>
      <c r="E21" s="2"/>
      <c r="F21" s="2"/>
      <c r="G21" s="2"/>
      <c r="H21" s="2"/>
      <c r="I21" s="2"/>
      <c r="J21" s="2"/>
      <c r="K21" s="3"/>
      <c r="L21" s="18">
        <f t="shared" si="0"/>
        <v>0</v>
      </c>
    </row>
    <row r="22" spans="1:12" ht="15.75" thickBot="1" x14ac:dyDescent="0.3">
      <c r="A22" s="16" t="s">
        <v>23</v>
      </c>
      <c r="B22" s="19">
        <f>B17+B18+B21-B19-B20</f>
        <v>142000</v>
      </c>
      <c r="C22" s="19">
        <f t="shared" ref="C22:K22" si="6">C17+C18+C21-C19-C20</f>
        <v>141999</v>
      </c>
      <c r="D22" s="19">
        <f t="shared" si="6"/>
        <v>141998</v>
      </c>
      <c r="E22" s="19">
        <f t="shared" si="6"/>
        <v>141997</v>
      </c>
      <c r="F22" s="19">
        <f t="shared" si="6"/>
        <v>141996</v>
      </c>
      <c r="G22" s="19">
        <f t="shared" si="6"/>
        <v>141995</v>
      </c>
      <c r="H22" s="19">
        <f t="shared" si="6"/>
        <v>141994</v>
      </c>
      <c r="I22" s="19">
        <f t="shared" si="6"/>
        <v>141993</v>
      </c>
      <c r="J22" s="19">
        <f t="shared" si="6"/>
        <v>155992</v>
      </c>
      <c r="K22" s="19">
        <f t="shared" si="6"/>
        <v>155991</v>
      </c>
      <c r="L22" s="20">
        <f t="shared" si="0"/>
        <v>1447955</v>
      </c>
    </row>
    <row r="23" spans="1:12" ht="15.75" thickBot="1" x14ac:dyDescent="0.3">
      <c r="A23" s="10" t="s">
        <v>10</v>
      </c>
      <c r="B23" s="2"/>
      <c r="C23" s="2"/>
      <c r="D23" s="2"/>
      <c r="E23" s="2"/>
      <c r="F23" s="2"/>
      <c r="G23" s="2"/>
      <c r="H23" s="2"/>
      <c r="I23" s="2"/>
      <c r="J23" s="2"/>
      <c r="K23" s="3"/>
      <c r="L23" s="18">
        <f t="shared" si="0"/>
        <v>0</v>
      </c>
    </row>
    <row r="24" spans="1:12" ht="15.75" thickBot="1" x14ac:dyDescent="0.3">
      <c r="A24" s="30" t="s">
        <v>11</v>
      </c>
      <c r="B24" s="17">
        <f>Crédit!C22</f>
        <v>0</v>
      </c>
      <c r="C24" s="17">
        <f>Crédit!D22</f>
        <v>38791.666666666664</v>
      </c>
      <c r="D24" s="17">
        <f>Crédit!E22</f>
        <v>30333.333333333332</v>
      </c>
      <c r="E24" s="17">
        <f>Crédit!F22</f>
        <v>21874.999999999996</v>
      </c>
      <c r="F24" s="17">
        <f>Crédit!G22</f>
        <v>18749.999999999996</v>
      </c>
      <c r="G24" s="17">
        <f>Crédit!H22</f>
        <v>15624.999999999998</v>
      </c>
      <c r="H24" s="17">
        <f>Crédit!I22</f>
        <v>12499.999999999998</v>
      </c>
      <c r="I24" s="17">
        <f>Crédit!J22</f>
        <v>9374.9999999999982</v>
      </c>
      <c r="J24" s="17">
        <f>Crédit!K22</f>
        <v>6249.9999999999973</v>
      </c>
      <c r="K24" s="17">
        <f>Crédit!L22</f>
        <v>3124.9999999999977</v>
      </c>
      <c r="L24" s="18">
        <f t="shared" si="0"/>
        <v>156625</v>
      </c>
    </row>
    <row r="25" spans="1:12" ht="15.75" thickBot="1" x14ac:dyDescent="0.3">
      <c r="A25" s="16" t="s">
        <v>24</v>
      </c>
      <c r="B25" s="17">
        <f>B23-B24</f>
        <v>0</v>
      </c>
      <c r="C25" s="17">
        <f t="shared" ref="C25:K25" si="7">C23-C24</f>
        <v>-38791.666666666664</v>
      </c>
      <c r="D25" s="17">
        <f t="shared" si="7"/>
        <v>-30333.333333333332</v>
      </c>
      <c r="E25" s="17">
        <f t="shared" si="7"/>
        <v>-21874.999999999996</v>
      </c>
      <c r="F25" s="17">
        <f t="shared" si="7"/>
        <v>-18749.999999999996</v>
      </c>
      <c r="G25" s="17">
        <f t="shared" si="7"/>
        <v>-15624.999999999998</v>
      </c>
      <c r="H25" s="17">
        <f t="shared" si="7"/>
        <v>-12499.999999999998</v>
      </c>
      <c r="I25" s="17">
        <f t="shared" si="7"/>
        <v>-9374.9999999999982</v>
      </c>
      <c r="J25" s="17">
        <f t="shared" si="7"/>
        <v>-6249.9999999999973</v>
      </c>
      <c r="K25" s="17">
        <f t="shared" si="7"/>
        <v>-3124.9999999999977</v>
      </c>
      <c r="L25" s="18">
        <f t="shared" si="0"/>
        <v>-156625</v>
      </c>
    </row>
    <row r="26" spans="1:12" ht="15.75" thickBot="1" x14ac:dyDescent="0.3">
      <c r="A26" s="16" t="s">
        <v>25</v>
      </c>
      <c r="B26" s="19">
        <f>B25+B22</f>
        <v>142000</v>
      </c>
      <c r="C26" s="19">
        <f t="shared" ref="C26:K26" si="8">C25+C22</f>
        <v>103207.33333333334</v>
      </c>
      <c r="D26" s="19">
        <f t="shared" si="8"/>
        <v>111664.66666666667</v>
      </c>
      <c r="E26" s="19">
        <f t="shared" si="8"/>
        <v>120122</v>
      </c>
      <c r="F26" s="19">
        <f t="shared" si="8"/>
        <v>123246</v>
      </c>
      <c r="G26" s="19">
        <f t="shared" si="8"/>
        <v>126370</v>
      </c>
      <c r="H26" s="19">
        <f t="shared" si="8"/>
        <v>129494</v>
      </c>
      <c r="I26" s="19">
        <f t="shared" si="8"/>
        <v>132618</v>
      </c>
      <c r="J26" s="19">
        <f t="shared" si="8"/>
        <v>149742</v>
      </c>
      <c r="K26" s="19">
        <f t="shared" si="8"/>
        <v>152866</v>
      </c>
      <c r="L26" s="20">
        <f t="shared" si="0"/>
        <v>1291330</v>
      </c>
    </row>
    <row r="27" spans="1:12" ht="15.75" thickBot="1" x14ac:dyDescent="0.3">
      <c r="A27" s="16" t="s">
        <v>12</v>
      </c>
      <c r="B27" s="21">
        <f>IF(B26&gt;0,B26*0.19,0)</f>
        <v>26980</v>
      </c>
      <c r="C27" s="21">
        <f t="shared" ref="C27:K27" si="9">IF(C26&gt;0,C26*0.19,0)</f>
        <v>19609.393333333337</v>
      </c>
      <c r="D27" s="21">
        <f t="shared" si="9"/>
        <v>21216.286666666667</v>
      </c>
      <c r="E27" s="21">
        <f t="shared" si="9"/>
        <v>22823.18</v>
      </c>
      <c r="F27" s="21">
        <f t="shared" si="9"/>
        <v>23416.74</v>
      </c>
      <c r="G27" s="21">
        <f t="shared" si="9"/>
        <v>24010.3</v>
      </c>
      <c r="H27" s="21">
        <f t="shared" si="9"/>
        <v>24603.86</v>
      </c>
      <c r="I27" s="21">
        <f t="shared" si="9"/>
        <v>25197.420000000002</v>
      </c>
      <c r="J27" s="21">
        <f t="shared" si="9"/>
        <v>28450.98</v>
      </c>
      <c r="K27" s="21">
        <f t="shared" si="9"/>
        <v>29044.54</v>
      </c>
      <c r="L27" s="21">
        <f t="shared" si="0"/>
        <v>245352.70000000004</v>
      </c>
    </row>
    <row r="28" spans="1:12" ht="15.75" thickBot="1" x14ac:dyDescent="0.3">
      <c r="A28" s="16" t="s">
        <v>26</v>
      </c>
      <c r="B28" s="15">
        <f>B26-B27</f>
        <v>115020</v>
      </c>
      <c r="C28" s="15">
        <f t="shared" ref="C28:K28" si="10">C26-C27</f>
        <v>83597.94</v>
      </c>
      <c r="D28" s="15">
        <f t="shared" si="10"/>
        <v>90448.38</v>
      </c>
      <c r="E28" s="15">
        <f t="shared" si="10"/>
        <v>97298.82</v>
      </c>
      <c r="F28" s="15">
        <f t="shared" si="10"/>
        <v>99829.26</v>
      </c>
      <c r="G28" s="15">
        <f t="shared" si="10"/>
        <v>102359.7</v>
      </c>
      <c r="H28" s="15">
        <f t="shared" si="10"/>
        <v>104890.14</v>
      </c>
      <c r="I28" s="15">
        <f t="shared" si="10"/>
        <v>107420.58</v>
      </c>
      <c r="J28" s="15">
        <f t="shared" si="10"/>
        <v>121291.02</v>
      </c>
      <c r="K28" s="15">
        <f t="shared" si="10"/>
        <v>123821.45999999999</v>
      </c>
      <c r="L28" s="15">
        <f t="shared" si="0"/>
        <v>1045977.2999999999</v>
      </c>
    </row>
    <row r="29" spans="1:12" ht="15.75" thickBot="1" x14ac:dyDescent="0.3">
      <c r="A29" s="14" t="s">
        <v>27</v>
      </c>
      <c r="B29" s="21">
        <f>B20</f>
        <v>20000</v>
      </c>
      <c r="C29" s="21">
        <f t="shared" ref="C29:K29" si="11">C20</f>
        <v>20000</v>
      </c>
      <c r="D29" s="21">
        <f t="shared" si="11"/>
        <v>20000</v>
      </c>
      <c r="E29" s="21">
        <f t="shared" si="11"/>
        <v>20000</v>
      </c>
      <c r="F29" s="21">
        <f t="shared" si="11"/>
        <v>20000</v>
      </c>
      <c r="G29" s="21">
        <f t="shared" si="11"/>
        <v>20000</v>
      </c>
      <c r="H29" s="21">
        <f t="shared" si="11"/>
        <v>20000</v>
      </c>
      <c r="I29" s="21">
        <f t="shared" si="11"/>
        <v>20000</v>
      </c>
      <c r="J29" s="21">
        <f t="shared" si="11"/>
        <v>20000</v>
      </c>
      <c r="K29" s="21">
        <f t="shared" si="11"/>
        <v>20000</v>
      </c>
      <c r="L29" s="21">
        <f t="shared" si="0"/>
        <v>200000</v>
      </c>
    </row>
    <row r="30" spans="1:12" ht="15.75" thickBot="1" x14ac:dyDescent="0.3">
      <c r="A30" s="14" t="s">
        <v>28</v>
      </c>
      <c r="B30" s="21">
        <f>+B28+B29</f>
        <v>135020</v>
      </c>
      <c r="C30" s="21">
        <f t="shared" ref="C30:K30" si="12">+C28+C29</f>
        <v>103597.94</v>
      </c>
      <c r="D30" s="21">
        <f t="shared" si="12"/>
        <v>110448.38</v>
      </c>
      <c r="E30" s="21">
        <f t="shared" si="12"/>
        <v>117298.82</v>
      </c>
      <c r="F30" s="21">
        <f t="shared" si="12"/>
        <v>119829.26</v>
      </c>
      <c r="G30" s="21">
        <f t="shared" si="12"/>
        <v>122359.7</v>
      </c>
      <c r="H30" s="21">
        <f t="shared" si="12"/>
        <v>124890.14</v>
      </c>
      <c r="I30" s="21">
        <f t="shared" si="12"/>
        <v>127420.58</v>
      </c>
      <c r="J30" s="21">
        <f t="shared" si="12"/>
        <v>141291.02000000002</v>
      </c>
      <c r="K30" s="21">
        <f t="shared" si="12"/>
        <v>143821.46</v>
      </c>
      <c r="L30" s="21">
        <f t="shared" si="0"/>
        <v>1245977.2999999998</v>
      </c>
    </row>
    <row r="31" spans="1:12" ht="15.75" thickBot="1" x14ac:dyDescent="0.3">
      <c r="A31" s="16" t="s">
        <v>13</v>
      </c>
      <c r="B31" s="21">
        <f>B30</f>
        <v>135020</v>
      </c>
      <c r="C31" s="21">
        <f>B31+C30</f>
        <v>238617.94</v>
      </c>
      <c r="D31" s="21">
        <f t="shared" ref="D31:K31" si="13">C31+D30</f>
        <v>349066.32</v>
      </c>
      <c r="E31" s="21">
        <f t="shared" si="13"/>
        <v>466365.14</v>
      </c>
      <c r="F31" s="21">
        <f t="shared" si="13"/>
        <v>586194.4</v>
      </c>
      <c r="G31" s="21">
        <f t="shared" si="13"/>
        <v>708554.1</v>
      </c>
      <c r="H31" s="21">
        <f t="shared" si="13"/>
        <v>833444.24</v>
      </c>
      <c r="I31" s="21">
        <f t="shared" si="13"/>
        <v>960864.82</v>
      </c>
      <c r="J31" s="21">
        <f t="shared" si="13"/>
        <v>1102155.8399999999</v>
      </c>
      <c r="K31" s="21">
        <f t="shared" si="13"/>
        <v>1245977.2999999998</v>
      </c>
      <c r="L31" s="21">
        <f t="shared" si="0"/>
        <v>6626260.0999999996</v>
      </c>
    </row>
    <row r="32" spans="1:12" ht="15.75" thickBot="1" x14ac:dyDescent="0.3">
      <c r="A32" s="25" t="s">
        <v>29</v>
      </c>
      <c r="B32" s="21">
        <f>Crédit!C10</f>
        <v>116666.66666666667</v>
      </c>
      <c r="C32" s="21">
        <f>Crédit!D10</f>
        <v>116666.66666666667</v>
      </c>
      <c r="D32" s="21">
        <f>Crédit!E10</f>
        <v>116666.66666666667</v>
      </c>
      <c r="E32" s="21">
        <f>Crédit!F10</f>
        <v>50000</v>
      </c>
      <c r="F32" s="21">
        <f>Crédit!G10</f>
        <v>50000</v>
      </c>
      <c r="G32" s="21">
        <f>Crédit!H10</f>
        <v>50000</v>
      </c>
      <c r="H32" s="21">
        <f>Crédit!I10</f>
        <v>50000</v>
      </c>
      <c r="I32" s="21">
        <f>Crédit!J10</f>
        <v>50000</v>
      </c>
      <c r="J32" s="21">
        <f>Crédit!K10</f>
        <v>50000</v>
      </c>
      <c r="K32" s="21">
        <f>Crédit!L10</f>
        <v>50000</v>
      </c>
      <c r="L32" s="21">
        <f t="shared" si="0"/>
        <v>700000</v>
      </c>
    </row>
    <row r="33" spans="1:12" ht="15.75" thickBot="1" x14ac:dyDescent="0.3">
      <c r="A33" s="22" t="s">
        <v>30</v>
      </c>
      <c r="B33" s="21">
        <f>Crédit!C11</f>
        <v>116666.66666666667</v>
      </c>
      <c r="C33" s="21">
        <f>Crédit!D11</f>
        <v>233333.33333333334</v>
      </c>
      <c r="D33" s="21">
        <f>Crédit!E11</f>
        <v>350000</v>
      </c>
      <c r="E33" s="21">
        <f>Crédit!F11</f>
        <v>400000</v>
      </c>
      <c r="F33" s="21">
        <f>Crédit!G11</f>
        <v>450000</v>
      </c>
      <c r="G33" s="21">
        <f>Crédit!H11</f>
        <v>500000</v>
      </c>
      <c r="H33" s="21">
        <f>Crédit!I11</f>
        <v>550000</v>
      </c>
      <c r="I33" s="21">
        <f>Crédit!J11</f>
        <v>600000</v>
      </c>
      <c r="J33" s="21">
        <f>Crédit!K11</f>
        <v>650000</v>
      </c>
      <c r="K33" s="21">
        <f>Crédit!L11</f>
        <v>700000</v>
      </c>
      <c r="L33" s="52"/>
    </row>
    <row r="34" spans="1:12" ht="15.75" thickBot="1" x14ac:dyDescent="0.3">
      <c r="A34" s="14" t="s">
        <v>31</v>
      </c>
      <c r="B34" s="21">
        <f>B30-B32</f>
        <v>18353.333333333328</v>
      </c>
      <c r="C34" s="21">
        <f t="shared" ref="C34:K34" si="14">C30-C32</f>
        <v>-13068.726666666669</v>
      </c>
      <c r="D34" s="21">
        <f t="shared" si="14"/>
        <v>-6218.2866666666669</v>
      </c>
      <c r="E34" s="21">
        <f t="shared" si="14"/>
        <v>67298.820000000007</v>
      </c>
      <c r="F34" s="21">
        <f t="shared" si="14"/>
        <v>69829.259999999995</v>
      </c>
      <c r="G34" s="21">
        <f t="shared" si="14"/>
        <v>72359.7</v>
      </c>
      <c r="H34" s="21">
        <f t="shared" si="14"/>
        <v>74890.14</v>
      </c>
      <c r="I34" s="21">
        <f t="shared" si="14"/>
        <v>77420.58</v>
      </c>
      <c r="J34" s="21">
        <f t="shared" si="14"/>
        <v>91291.020000000019</v>
      </c>
      <c r="K34" s="21">
        <f t="shared" si="14"/>
        <v>93821.459999999992</v>
      </c>
      <c r="L34" s="21">
        <f t="shared" si="0"/>
        <v>545977.30000000005</v>
      </c>
    </row>
    <row r="35" spans="1:12" ht="15.75" thickBot="1" x14ac:dyDescent="0.3">
      <c r="A35" s="14" t="s">
        <v>32</v>
      </c>
      <c r="B35" s="21">
        <f>B34</f>
        <v>18353.333333333328</v>
      </c>
      <c r="C35" s="21">
        <f>C34+B34</f>
        <v>5284.6066666666593</v>
      </c>
      <c r="D35" s="21">
        <f t="shared" ref="D35:K35" si="15">D34+C34</f>
        <v>-19287.013333333336</v>
      </c>
      <c r="E35" s="21">
        <f t="shared" si="15"/>
        <v>61080.53333333334</v>
      </c>
      <c r="F35" s="21">
        <f t="shared" si="15"/>
        <v>137128.08000000002</v>
      </c>
      <c r="G35" s="21">
        <f t="shared" si="15"/>
        <v>142188.96</v>
      </c>
      <c r="H35" s="21">
        <f t="shared" si="15"/>
        <v>147249.84</v>
      </c>
      <c r="I35" s="21">
        <f t="shared" si="15"/>
        <v>152310.72</v>
      </c>
      <c r="J35" s="21">
        <f t="shared" si="15"/>
        <v>168711.60000000003</v>
      </c>
      <c r="K35" s="21">
        <f t="shared" si="15"/>
        <v>185112.48</v>
      </c>
      <c r="L35" s="52"/>
    </row>
    <row r="37" spans="1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</sheetData>
  <mergeCells count="13">
    <mergeCell ref="I3:I4"/>
    <mergeCell ref="J3:J4"/>
    <mergeCell ref="K3:K4"/>
    <mergeCell ref="L3:L4"/>
    <mergeCell ref="A1:L1"/>
    <mergeCell ref="A3:A4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M36"/>
  <sheetViews>
    <sheetView view="pageBreakPreview" topLeftCell="A7" zoomScale="60" zoomScaleNormal="60" workbookViewId="0">
      <selection activeCell="A8" sqref="A8:L8"/>
    </sheetView>
  </sheetViews>
  <sheetFormatPr baseColWidth="10" defaultRowHeight="18.75" x14ac:dyDescent="0.3"/>
  <cols>
    <col min="1" max="1" width="41.7109375" style="32" customWidth="1"/>
    <col min="2" max="2" width="23.140625" style="32" customWidth="1"/>
    <col min="3" max="4" width="19.85546875" style="32" bestFit="1" customWidth="1"/>
    <col min="5" max="5" width="19.7109375" style="32" bestFit="1" customWidth="1"/>
    <col min="6" max="7" width="19.85546875" style="32" bestFit="1" customWidth="1"/>
    <col min="8" max="10" width="19.7109375" style="32" bestFit="1" customWidth="1"/>
    <col min="11" max="11" width="21.42578125" style="32" customWidth="1"/>
    <col min="12" max="12" width="19.140625" style="32" customWidth="1"/>
    <col min="13" max="13" width="16.140625" style="32" bestFit="1" customWidth="1"/>
    <col min="14" max="16384" width="11.42578125" style="32"/>
  </cols>
  <sheetData>
    <row r="3" spans="1:13" ht="20.25" x14ac:dyDescent="0.3">
      <c r="A3" s="70" t="s">
        <v>89</v>
      </c>
      <c r="B3" s="70">
        <v>2</v>
      </c>
    </row>
    <row r="4" spans="1:13" ht="20.25" x14ac:dyDescent="0.3">
      <c r="A4" s="70" t="s">
        <v>90</v>
      </c>
      <c r="B4" s="70">
        <v>3</v>
      </c>
    </row>
    <row r="5" spans="1:13" ht="20.25" x14ac:dyDescent="0.3">
      <c r="A5" s="70" t="s">
        <v>91</v>
      </c>
      <c r="B5" s="70">
        <v>4</v>
      </c>
    </row>
    <row r="8" spans="1:13" ht="25.5" x14ac:dyDescent="0.35">
      <c r="A8" s="82" t="s">
        <v>65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3" ht="19.5" thickBot="1" x14ac:dyDescent="0.35">
      <c r="A9" s="33"/>
      <c r="B9" s="33"/>
    </row>
    <row r="10" spans="1:13" s="36" customFormat="1" ht="37.5" customHeight="1" thickBot="1" x14ac:dyDescent="0.3">
      <c r="A10" s="34" t="s">
        <v>14</v>
      </c>
      <c r="B10" s="35">
        <v>2015</v>
      </c>
      <c r="C10" s="35">
        <v>2016</v>
      </c>
      <c r="D10" s="35">
        <v>2017</v>
      </c>
      <c r="E10" s="35">
        <v>2018</v>
      </c>
      <c r="F10" s="35">
        <v>2019</v>
      </c>
      <c r="G10" s="35">
        <v>2020</v>
      </c>
      <c r="H10" s="35">
        <v>2021</v>
      </c>
      <c r="I10" s="35">
        <v>2022</v>
      </c>
      <c r="J10" s="35">
        <v>2023</v>
      </c>
      <c r="K10" s="35">
        <v>2024</v>
      </c>
      <c r="L10" s="35">
        <v>2025</v>
      </c>
    </row>
    <row r="11" spans="1:13" s="36" customFormat="1" ht="37.5" customHeight="1" thickBot="1" x14ac:dyDescent="0.3">
      <c r="A11" s="83" t="s">
        <v>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5"/>
    </row>
    <row r="12" spans="1:13" s="36" customFormat="1" ht="37.5" customHeight="1" thickBot="1" x14ac:dyDescent="0.3">
      <c r="A12" s="37" t="s">
        <v>66</v>
      </c>
      <c r="B12" s="38"/>
      <c r="C12" s="50">
        <f>B12</f>
        <v>0</v>
      </c>
      <c r="D12" s="50">
        <f t="shared" ref="D12:L12" si="0">C12</f>
        <v>0</v>
      </c>
      <c r="E12" s="50">
        <f t="shared" si="0"/>
        <v>0</v>
      </c>
      <c r="F12" s="50">
        <f t="shared" si="0"/>
        <v>0</v>
      </c>
      <c r="G12" s="50">
        <f t="shared" si="0"/>
        <v>0</v>
      </c>
      <c r="H12" s="50">
        <f t="shared" si="0"/>
        <v>0</v>
      </c>
      <c r="I12" s="50">
        <f t="shared" si="0"/>
        <v>0</v>
      </c>
      <c r="J12" s="50">
        <f t="shared" si="0"/>
        <v>0</v>
      </c>
      <c r="K12" s="50">
        <f t="shared" si="0"/>
        <v>0</v>
      </c>
      <c r="L12" s="50">
        <f t="shared" si="0"/>
        <v>0</v>
      </c>
    </row>
    <row r="13" spans="1:13" s="36" customFormat="1" ht="37.5" customHeight="1" thickBot="1" x14ac:dyDescent="0.3">
      <c r="A13" s="37" t="s">
        <v>67</v>
      </c>
      <c r="B13" s="38"/>
      <c r="C13" s="50">
        <f>B14</f>
        <v>0</v>
      </c>
      <c r="D13" s="50">
        <f>D14+C14</f>
        <v>198617.94</v>
      </c>
      <c r="E13" s="50">
        <f t="shared" ref="E13:L13" si="1">E14+D14</f>
        <v>174046.32</v>
      </c>
      <c r="F13" s="50">
        <f t="shared" si="1"/>
        <v>187747.20000000001</v>
      </c>
      <c r="G13" s="50">
        <f t="shared" si="1"/>
        <v>197128.08000000002</v>
      </c>
      <c r="H13" s="50">
        <f t="shared" si="1"/>
        <v>202188.96</v>
      </c>
      <c r="I13" s="50">
        <f t="shared" si="1"/>
        <v>207249.84</v>
      </c>
      <c r="J13" s="50">
        <f t="shared" si="1"/>
        <v>212310.72</v>
      </c>
      <c r="K13" s="50">
        <f t="shared" si="1"/>
        <v>228711.6</v>
      </c>
      <c r="L13" s="50">
        <f t="shared" si="1"/>
        <v>245112.47999999998</v>
      </c>
    </row>
    <row r="14" spans="1:13" s="36" customFormat="1" ht="37.5" customHeight="1" thickBot="1" x14ac:dyDescent="0.3">
      <c r="A14" s="37" t="s">
        <v>68</v>
      </c>
      <c r="B14" s="38"/>
      <c r="C14" s="50">
        <f>TCR!B28</f>
        <v>115020</v>
      </c>
      <c r="D14" s="50">
        <f>TCR!C28</f>
        <v>83597.94</v>
      </c>
      <c r="E14" s="50">
        <f>TCR!D28</f>
        <v>90448.38</v>
      </c>
      <c r="F14" s="50">
        <f>TCR!E28</f>
        <v>97298.82</v>
      </c>
      <c r="G14" s="50">
        <f>TCR!F28</f>
        <v>99829.26</v>
      </c>
      <c r="H14" s="50">
        <f>TCR!G28</f>
        <v>102359.7</v>
      </c>
      <c r="I14" s="50">
        <f>TCR!H28</f>
        <v>104890.14</v>
      </c>
      <c r="J14" s="50">
        <f>TCR!I28</f>
        <v>107420.58</v>
      </c>
      <c r="K14" s="50">
        <f>TCR!J28</f>
        <v>121291.02</v>
      </c>
      <c r="L14" s="50">
        <f>TCR!K28</f>
        <v>123821.45999999999</v>
      </c>
    </row>
    <row r="15" spans="1:13" s="36" customFormat="1" ht="37.5" customHeight="1" thickBot="1" x14ac:dyDescent="0.3">
      <c r="A15" s="39" t="s">
        <v>69</v>
      </c>
      <c r="B15" s="51">
        <f t="shared" ref="B15:L15" si="2">B14+B13+B12</f>
        <v>0</v>
      </c>
      <c r="C15" s="51">
        <f t="shared" si="2"/>
        <v>115020</v>
      </c>
      <c r="D15" s="51">
        <f t="shared" si="2"/>
        <v>282215.88</v>
      </c>
      <c r="E15" s="51">
        <f t="shared" si="2"/>
        <v>264494.7</v>
      </c>
      <c r="F15" s="51">
        <f t="shared" si="2"/>
        <v>285046.02</v>
      </c>
      <c r="G15" s="51">
        <f t="shared" si="2"/>
        <v>296957.34000000003</v>
      </c>
      <c r="H15" s="51">
        <f t="shared" si="2"/>
        <v>304548.65999999997</v>
      </c>
      <c r="I15" s="51">
        <f t="shared" si="2"/>
        <v>312139.98</v>
      </c>
      <c r="J15" s="51">
        <f t="shared" si="2"/>
        <v>319731.3</v>
      </c>
      <c r="K15" s="51">
        <f t="shared" si="2"/>
        <v>350002.62</v>
      </c>
      <c r="L15" s="51">
        <f t="shared" si="2"/>
        <v>368933.93999999994</v>
      </c>
      <c r="M15" s="55"/>
    </row>
    <row r="16" spans="1:13" s="36" customFormat="1" ht="37.5" customHeight="1" thickBot="1" x14ac:dyDescent="0.3">
      <c r="A16" s="37" t="s">
        <v>70</v>
      </c>
      <c r="B16" s="38"/>
      <c r="C16" s="50">
        <f>Crédit!$B$8+Crédit!$B$9-Crédit!C11</f>
        <v>583333.33333333337</v>
      </c>
      <c r="D16" s="50">
        <f>Crédit!$B$8+Crédit!$B$9-Crédit!D11</f>
        <v>466666.66666666663</v>
      </c>
      <c r="E16" s="50">
        <f>Crédit!$B$8+Crédit!$B$9-Crédit!E11</f>
        <v>350000</v>
      </c>
      <c r="F16" s="50">
        <f>Crédit!$B$8+Crédit!$B$9-Crédit!F11</f>
        <v>300000</v>
      </c>
      <c r="G16" s="50">
        <f>Crédit!$B$8+Crédit!$B$9-Crédit!G11</f>
        <v>250000</v>
      </c>
      <c r="H16" s="50">
        <f>Crédit!$B$8+Crédit!$B$9-Crédit!H11</f>
        <v>200000</v>
      </c>
      <c r="I16" s="50">
        <f>Crédit!$B$8+Crédit!$B$9-Crédit!I11</f>
        <v>150000</v>
      </c>
      <c r="J16" s="50">
        <f>Crédit!$B$8+Crédit!$B$9-Crédit!J11</f>
        <v>100000</v>
      </c>
      <c r="K16" s="50">
        <f>Crédit!$B$8+Crédit!$B$9-Crédit!K11</f>
        <v>50000</v>
      </c>
      <c r="L16" s="50">
        <f>Crédit!$B$8+Crédit!$B$9-Crédit!L11</f>
        <v>0</v>
      </c>
      <c r="M16" s="55"/>
    </row>
    <row r="17" spans="1:13" s="36" customFormat="1" ht="37.5" customHeight="1" thickBot="1" x14ac:dyDescent="0.3">
      <c r="A17" s="37" t="s">
        <v>71</v>
      </c>
      <c r="B17" s="38"/>
      <c r="C17" s="50">
        <f>(TCR!B13*1.17)/$B$5</f>
        <v>45045</v>
      </c>
      <c r="D17" s="50">
        <f>(TCR!C13*1.17)/$B$5</f>
        <v>45045.292499999996</v>
      </c>
      <c r="E17" s="50">
        <f>(TCR!D13*1.17)/$B$5</f>
        <v>45045.584999999999</v>
      </c>
      <c r="F17" s="50">
        <f>(TCR!E13*1.17)/$B$5</f>
        <v>45045.877499999995</v>
      </c>
      <c r="G17" s="50">
        <f>(TCR!F13*1.17)/$B$5</f>
        <v>45046.17</v>
      </c>
      <c r="H17" s="50">
        <f>(TCR!G13*1.17)/$B$5</f>
        <v>45046.462499999994</v>
      </c>
      <c r="I17" s="50">
        <f>(TCR!H13*1.17)/$B$5</f>
        <v>45046.754999999997</v>
      </c>
      <c r="J17" s="50">
        <f>(TCR!I13*1.17)/$B$5</f>
        <v>45047.047500000001</v>
      </c>
      <c r="K17" s="50">
        <f>(TCR!J13*1.17)/$B$5</f>
        <v>45047.34</v>
      </c>
      <c r="L17" s="50">
        <f>(TCR!K13*1.17)/$B$5</f>
        <v>45047.6325</v>
      </c>
      <c r="M17" s="55"/>
    </row>
    <row r="18" spans="1:13" s="36" customFormat="1" ht="37.5" customHeight="1" thickBot="1" x14ac:dyDescent="0.3">
      <c r="A18" s="39" t="s">
        <v>72</v>
      </c>
      <c r="B18" s="51">
        <f>B16+B17</f>
        <v>0</v>
      </c>
      <c r="C18" s="51">
        <f>C16+C17</f>
        <v>628378.33333333337</v>
      </c>
      <c r="D18" s="51">
        <f t="shared" ref="D18:L18" si="3">D16+D17</f>
        <v>511711.95916666661</v>
      </c>
      <c r="E18" s="51">
        <f t="shared" si="3"/>
        <v>395045.58500000002</v>
      </c>
      <c r="F18" s="51">
        <f t="shared" si="3"/>
        <v>345045.8775</v>
      </c>
      <c r="G18" s="51">
        <f t="shared" si="3"/>
        <v>295046.17</v>
      </c>
      <c r="H18" s="51">
        <f t="shared" si="3"/>
        <v>245046.46249999999</v>
      </c>
      <c r="I18" s="51">
        <f t="shared" si="3"/>
        <v>195046.755</v>
      </c>
      <c r="J18" s="51">
        <f t="shared" si="3"/>
        <v>145047.04749999999</v>
      </c>
      <c r="K18" s="51">
        <f t="shared" si="3"/>
        <v>95047.34</v>
      </c>
      <c r="L18" s="51">
        <f t="shared" si="3"/>
        <v>45047.6325</v>
      </c>
    </row>
    <row r="19" spans="1:13" s="36" customFormat="1" ht="37.5" customHeight="1" thickBot="1" x14ac:dyDescent="0.3">
      <c r="A19" s="40" t="s">
        <v>73</v>
      </c>
      <c r="B19" s="51">
        <f>B18+B15</f>
        <v>0</v>
      </c>
      <c r="C19" s="51">
        <f>C18+C15</f>
        <v>743398.33333333337</v>
      </c>
      <c r="D19" s="51">
        <f t="shared" ref="D19:L19" si="4">D18+D15</f>
        <v>793927.83916666661</v>
      </c>
      <c r="E19" s="51">
        <f t="shared" si="4"/>
        <v>659540.28500000003</v>
      </c>
      <c r="F19" s="51">
        <f t="shared" si="4"/>
        <v>630091.89749999996</v>
      </c>
      <c r="G19" s="51">
        <f t="shared" si="4"/>
        <v>592003.51</v>
      </c>
      <c r="H19" s="51">
        <f t="shared" si="4"/>
        <v>549595.12249999994</v>
      </c>
      <c r="I19" s="51">
        <f t="shared" si="4"/>
        <v>507186.73499999999</v>
      </c>
      <c r="J19" s="51">
        <f t="shared" si="4"/>
        <v>464778.34749999997</v>
      </c>
      <c r="K19" s="51">
        <f t="shared" si="4"/>
        <v>445049.95999999996</v>
      </c>
      <c r="L19" s="51">
        <f t="shared" si="4"/>
        <v>413981.57249999995</v>
      </c>
    </row>
    <row r="20" spans="1:13" s="36" customFormat="1" ht="37.5" customHeight="1" thickBot="1" x14ac:dyDescent="0.3">
      <c r="A20" s="83" t="s">
        <v>16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5"/>
    </row>
    <row r="21" spans="1:13" s="36" customFormat="1" ht="37.5" customHeight="1" thickBot="1" x14ac:dyDescent="0.3">
      <c r="A21" s="37" t="s">
        <v>74</v>
      </c>
      <c r="B21" s="41"/>
      <c r="C21" s="50">
        <f>Crédit!$B$8</f>
        <v>500000</v>
      </c>
      <c r="D21" s="50">
        <f>Crédit!$B$8</f>
        <v>500000</v>
      </c>
      <c r="E21" s="50">
        <f>Crédit!$B$8</f>
        <v>500000</v>
      </c>
      <c r="F21" s="50">
        <f>Crédit!$B$8</f>
        <v>500000</v>
      </c>
      <c r="G21" s="50">
        <f>Crédit!$B$8</f>
        <v>500000</v>
      </c>
      <c r="H21" s="50">
        <f>Crédit!$B$8</f>
        <v>500000</v>
      </c>
      <c r="I21" s="50">
        <f>Crédit!$B$8</f>
        <v>500000</v>
      </c>
      <c r="J21" s="50">
        <f>Crédit!$B$8</f>
        <v>500000</v>
      </c>
      <c r="K21" s="50">
        <f>Crédit!$B$8</f>
        <v>500000</v>
      </c>
      <c r="L21" s="50">
        <f>Crédit!$B$8</f>
        <v>500000</v>
      </c>
    </row>
    <row r="22" spans="1:13" s="36" customFormat="1" ht="37.5" customHeight="1" thickBot="1" x14ac:dyDescent="0.3">
      <c r="A22" s="42" t="s">
        <v>75</v>
      </c>
      <c r="B22" s="43"/>
      <c r="C22" s="50">
        <f>TCR!B20</f>
        <v>20000</v>
      </c>
      <c r="D22" s="50">
        <f>TCR!C20</f>
        <v>20000</v>
      </c>
      <c r="E22" s="50">
        <f>TCR!D20</f>
        <v>20000</v>
      </c>
      <c r="F22" s="50">
        <f>TCR!E20</f>
        <v>20000</v>
      </c>
      <c r="G22" s="50">
        <f>TCR!F20</f>
        <v>20000</v>
      </c>
      <c r="H22" s="50">
        <f>TCR!G20</f>
        <v>20000</v>
      </c>
      <c r="I22" s="50">
        <f>TCR!H20</f>
        <v>20000</v>
      </c>
      <c r="J22" s="50">
        <f>TCR!I20</f>
        <v>20000</v>
      </c>
      <c r="K22" s="50">
        <f>TCR!J20</f>
        <v>20000</v>
      </c>
      <c r="L22" s="50">
        <f>TCR!K20</f>
        <v>20000</v>
      </c>
      <c r="M22" s="44"/>
    </row>
    <row r="23" spans="1:13" s="36" customFormat="1" ht="37.5" customHeight="1" thickBot="1" x14ac:dyDescent="0.3">
      <c r="A23" s="39" t="s">
        <v>76</v>
      </c>
      <c r="B23" s="51">
        <f>B21-B22</f>
        <v>0</v>
      </c>
      <c r="C23" s="51">
        <f>C21-C22</f>
        <v>480000</v>
      </c>
      <c r="D23" s="51">
        <f>C23-D22</f>
        <v>460000</v>
      </c>
      <c r="E23" s="51">
        <f t="shared" ref="E23:L23" si="5">D23-E22</f>
        <v>440000</v>
      </c>
      <c r="F23" s="51">
        <f t="shared" si="5"/>
        <v>420000</v>
      </c>
      <c r="G23" s="51">
        <f t="shared" si="5"/>
        <v>400000</v>
      </c>
      <c r="H23" s="51">
        <f t="shared" si="5"/>
        <v>380000</v>
      </c>
      <c r="I23" s="51">
        <f t="shared" si="5"/>
        <v>360000</v>
      </c>
      <c r="J23" s="51">
        <f t="shared" si="5"/>
        <v>340000</v>
      </c>
      <c r="K23" s="51">
        <f t="shared" si="5"/>
        <v>320000</v>
      </c>
      <c r="L23" s="51">
        <f t="shared" si="5"/>
        <v>300000</v>
      </c>
    </row>
    <row r="24" spans="1:13" s="36" customFormat="1" ht="37.5" customHeight="1" thickBot="1" x14ac:dyDescent="0.3">
      <c r="A24" s="37" t="s">
        <v>77</v>
      </c>
      <c r="B24" s="38"/>
      <c r="C24" s="50">
        <f>TCR!B10/$B$3</f>
        <v>50000</v>
      </c>
      <c r="D24" s="50">
        <f>TCR!C10/$B$3</f>
        <v>50000.5</v>
      </c>
      <c r="E24" s="50">
        <f>TCR!D10/$B$3</f>
        <v>50001</v>
      </c>
      <c r="F24" s="50">
        <f>TCR!E10/$B$3</f>
        <v>50001.5</v>
      </c>
      <c r="G24" s="50">
        <f>TCR!F10/$B$3</f>
        <v>50002</v>
      </c>
      <c r="H24" s="50">
        <f>TCR!G10/$B$3</f>
        <v>50002.5</v>
      </c>
      <c r="I24" s="50">
        <f>TCR!H10/$B$3</f>
        <v>50003</v>
      </c>
      <c r="J24" s="50">
        <f>TCR!I10/$B$3</f>
        <v>50003.5</v>
      </c>
      <c r="K24" s="50">
        <f>TCR!J10/$B$3</f>
        <v>50004</v>
      </c>
      <c r="L24" s="50">
        <f>TCR!K10/$B$3</f>
        <v>50004.5</v>
      </c>
    </row>
    <row r="25" spans="1:13" s="36" customFormat="1" ht="37.5" customHeight="1" thickBot="1" x14ac:dyDescent="0.3">
      <c r="A25" s="37" t="s">
        <v>78</v>
      </c>
      <c r="B25" s="38"/>
      <c r="C25" s="50">
        <f>TCR!B5*1.17/$B$4</f>
        <v>136500</v>
      </c>
      <c r="D25" s="50">
        <f>TCR!C5*1.17/$B$4</f>
        <v>136500</v>
      </c>
      <c r="E25" s="50">
        <f>TCR!D5*1.17/$B$4</f>
        <v>136500</v>
      </c>
      <c r="F25" s="50">
        <f>TCR!E5*1.17/$B$4</f>
        <v>136500</v>
      </c>
      <c r="G25" s="50">
        <f>TCR!F5*1.17/$B$4</f>
        <v>136500</v>
      </c>
      <c r="H25" s="50">
        <f>TCR!G5*1.17/$B$4</f>
        <v>136500</v>
      </c>
      <c r="I25" s="50">
        <f>TCR!H5*1.17/$B$4</f>
        <v>136500</v>
      </c>
      <c r="J25" s="50">
        <f>TCR!I5*1.17/$B$4</f>
        <v>136500</v>
      </c>
      <c r="K25" s="50">
        <f>TCR!J5*1.17/$B$4</f>
        <v>136500</v>
      </c>
      <c r="L25" s="50">
        <f>TCR!K5*1.17/$B$4</f>
        <v>136500</v>
      </c>
    </row>
    <row r="26" spans="1:13" s="36" customFormat="1" ht="37.5" customHeight="1" thickBot="1" x14ac:dyDescent="0.3">
      <c r="A26" s="37" t="s">
        <v>79</v>
      </c>
      <c r="B26" s="38"/>
      <c r="C26" s="50">
        <f>C19-C23-C24-C25</f>
        <v>76898.333333333372</v>
      </c>
      <c r="D26" s="50">
        <f t="shared" ref="D26:L26" si="6">D19-D23-D24-D25</f>
        <v>147427.33916666661</v>
      </c>
      <c r="E26" s="50">
        <f t="shared" si="6"/>
        <v>33039.285000000033</v>
      </c>
      <c r="F26" s="50">
        <f t="shared" si="6"/>
        <v>23590.397499999963</v>
      </c>
      <c r="G26" s="50">
        <f t="shared" si="6"/>
        <v>5501.5100000000093</v>
      </c>
      <c r="H26" s="50">
        <f t="shared" si="6"/>
        <v>-16907.377500000061</v>
      </c>
      <c r="I26" s="50">
        <f t="shared" si="6"/>
        <v>-39316.265000000014</v>
      </c>
      <c r="J26" s="50">
        <f t="shared" si="6"/>
        <v>-61725.152500000026</v>
      </c>
      <c r="K26" s="50">
        <f t="shared" si="6"/>
        <v>-61454.040000000037</v>
      </c>
      <c r="L26" s="50">
        <f t="shared" si="6"/>
        <v>-72522.927500000049</v>
      </c>
    </row>
    <row r="27" spans="1:13" s="36" customFormat="1" ht="37.5" customHeight="1" thickBot="1" x14ac:dyDescent="0.3">
      <c r="A27" s="39" t="s">
        <v>80</v>
      </c>
      <c r="B27" s="51">
        <f t="shared" ref="B27:L27" si="7">+B26+B25+B24</f>
        <v>0</v>
      </c>
      <c r="C27" s="51">
        <f t="shared" si="7"/>
        <v>263398.33333333337</v>
      </c>
      <c r="D27" s="51">
        <f t="shared" si="7"/>
        <v>333927.83916666661</v>
      </c>
      <c r="E27" s="51">
        <f t="shared" si="7"/>
        <v>219540.28500000003</v>
      </c>
      <c r="F27" s="51">
        <f t="shared" si="7"/>
        <v>210091.89749999996</v>
      </c>
      <c r="G27" s="51">
        <f t="shared" si="7"/>
        <v>192003.51</v>
      </c>
      <c r="H27" s="51">
        <f t="shared" si="7"/>
        <v>169595.12249999994</v>
      </c>
      <c r="I27" s="51">
        <f t="shared" si="7"/>
        <v>147186.73499999999</v>
      </c>
      <c r="J27" s="51">
        <f t="shared" si="7"/>
        <v>124778.34749999997</v>
      </c>
      <c r="K27" s="51">
        <f t="shared" si="7"/>
        <v>125049.95999999996</v>
      </c>
      <c r="L27" s="51">
        <f t="shared" si="7"/>
        <v>113981.57249999995</v>
      </c>
    </row>
    <row r="28" spans="1:13" s="36" customFormat="1" ht="37.5" customHeight="1" thickBot="1" x14ac:dyDescent="0.3">
      <c r="A28" s="45" t="s">
        <v>81</v>
      </c>
      <c r="B28" s="51">
        <f t="shared" ref="B28:L28" si="8">+B23+B27</f>
        <v>0</v>
      </c>
      <c r="C28" s="51">
        <f t="shared" si="8"/>
        <v>743398.33333333337</v>
      </c>
      <c r="D28" s="51">
        <f t="shared" si="8"/>
        <v>793927.83916666661</v>
      </c>
      <c r="E28" s="51">
        <f t="shared" si="8"/>
        <v>659540.28500000003</v>
      </c>
      <c r="F28" s="51">
        <f t="shared" si="8"/>
        <v>630091.89749999996</v>
      </c>
      <c r="G28" s="51">
        <f t="shared" si="8"/>
        <v>592003.51</v>
      </c>
      <c r="H28" s="51">
        <f t="shared" si="8"/>
        <v>549595.12249999994</v>
      </c>
      <c r="I28" s="51">
        <f t="shared" si="8"/>
        <v>507186.73499999999</v>
      </c>
      <c r="J28" s="51">
        <f t="shared" si="8"/>
        <v>464778.34749999997</v>
      </c>
      <c r="K28" s="51">
        <f t="shared" si="8"/>
        <v>445049.95999999996</v>
      </c>
      <c r="L28" s="51">
        <f t="shared" si="8"/>
        <v>413981.57249999995</v>
      </c>
    </row>
    <row r="29" spans="1:13" x14ac:dyDescent="0.3">
      <c r="A29" s="46"/>
      <c r="B29" s="46"/>
      <c r="C29" s="47"/>
      <c r="D29" s="46"/>
      <c r="E29" s="46"/>
      <c r="F29" s="46"/>
      <c r="G29" s="46"/>
      <c r="H29" s="46"/>
      <c r="I29" s="46"/>
      <c r="J29" s="46"/>
      <c r="K29" s="46"/>
      <c r="L29" s="46"/>
    </row>
    <row r="30" spans="1:13" x14ac:dyDescent="0.3">
      <c r="A30" s="46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x14ac:dyDescent="0.3"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3" x14ac:dyDescent="0.3"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3:13" x14ac:dyDescent="0.3"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3:13" x14ac:dyDescent="0.3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6" spans="3:13" x14ac:dyDescent="0.3">
      <c r="C36" s="49"/>
    </row>
  </sheetData>
  <mergeCells count="3">
    <mergeCell ref="A8:L8"/>
    <mergeCell ref="A11:L11"/>
    <mergeCell ref="A20:L2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L19"/>
  <sheetViews>
    <sheetView view="pageBreakPreview" zoomScale="70" zoomScaleSheetLayoutView="70" workbookViewId="0">
      <selection activeCell="A3" sqref="A3:K3"/>
    </sheetView>
  </sheetViews>
  <sheetFormatPr baseColWidth="10" defaultRowHeight="15" x14ac:dyDescent="0.25"/>
  <cols>
    <col min="1" max="1" width="39.7109375" style="4" customWidth="1"/>
    <col min="2" max="2" width="18.140625" style="4" bestFit="1" customWidth="1"/>
    <col min="3" max="6" width="19.140625" style="4" bestFit="1" customWidth="1"/>
    <col min="7" max="8" width="19" style="4" bestFit="1" customWidth="1"/>
    <col min="9" max="9" width="19.5703125" style="4" bestFit="1" customWidth="1"/>
    <col min="10" max="10" width="19" style="4" bestFit="1" customWidth="1"/>
    <col min="11" max="11" width="19.85546875" style="4" bestFit="1" customWidth="1"/>
    <col min="12" max="12" width="14" style="4" customWidth="1"/>
    <col min="13" max="16384" width="11.42578125" style="4"/>
  </cols>
  <sheetData>
    <row r="3" spans="1:12" ht="20.25" x14ac:dyDescent="0.3">
      <c r="A3" s="86" t="s">
        <v>18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2" ht="21.75" x14ac:dyDescent="0.3">
      <c r="A4" s="31"/>
    </row>
    <row r="5" spans="1:12" ht="33.75" customHeight="1" x14ac:dyDescent="0.25">
      <c r="A5" s="69" t="s">
        <v>14</v>
      </c>
      <c r="B5" s="69">
        <v>2016</v>
      </c>
      <c r="C5" s="69">
        <v>2017</v>
      </c>
      <c r="D5" s="69">
        <v>2018</v>
      </c>
      <c r="E5" s="69">
        <v>2019</v>
      </c>
      <c r="F5" s="69">
        <v>2020</v>
      </c>
      <c r="G5" s="69">
        <v>2021</v>
      </c>
      <c r="H5" s="69">
        <v>2022</v>
      </c>
      <c r="I5" s="69">
        <v>2023</v>
      </c>
      <c r="J5" s="69">
        <v>2024</v>
      </c>
      <c r="K5" s="69">
        <v>2025</v>
      </c>
      <c r="L5" s="69" t="s">
        <v>1</v>
      </c>
    </row>
    <row r="6" spans="1:12" ht="33.75" customHeight="1" x14ac:dyDescent="0.25">
      <c r="A6" s="87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1:12" ht="33.75" customHeight="1" x14ac:dyDescent="0.25">
      <c r="A7" s="57" t="s">
        <v>83</v>
      </c>
      <c r="B7" s="58">
        <f>TCR!B9</f>
        <v>350000</v>
      </c>
      <c r="C7" s="58">
        <f>TCR!C9</f>
        <v>350000</v>
      </c>
      <c r="D7" s="58">
        <f>TCR!D9</f>
        <v>350000</v>
      </c>
      <c r="E7" s="58">
        <f>TCR!E9</f>
        <v>350000</v>
      </c>
      <c r="F7" s="58">
        <f>TCR!F9</f>
        <v>350000</v>
      </c>
      <c r="G7" s="58">
        <f>TCR!G9</f>
        <v>350000</v>
      </c>
      <c r="H7" s="58">
        <f>TCR!H9</f>
        <v>350000</v>
      </c>
      <c r="I7" s="58">
        <f>TCR!I9</f>
        <v>350000</v>
      </c>
      <c r="J7" s="58">
        <f>TCR!J9</f>
        <v>350000</v>
      </c>
      <c r="K7" s="58">
        <f>TCR!K9</f>
        <v>350000</v>
      </c>
      <c r="L7" s="58">
        <f>SUM(B7:K7)</f>
        <v>3500000</v>
      </c>
    </row>
    <row r="8" spans="1:12" ht="33.75" customHeight="1" x14ac:dyDescent="0.25">
      <c r="A8" s="57" t="s">
        <v>34</v>
      </c>
      <c r="B8" s="58">
        <f>TCR!B13+TCR!B15+TCR!B16+TCR!B19+TCR!B24+TCR!B20</f>
        <v>208000</v>
      </c>
      <c r="C8" s="58">
        <f>TCR!C13+TCR!C15+TCR!C16+TCR!C19+TCR!C24+TCR!C20</f>
        <v>246792.66666666666</v>
      </c>
      <c r="D8" s="58">
        <f>TCR!D13+TCR!D15+TCR!D16+TCR!D19+TCR!D24+TCR!D20</f>
        <v>238335.33333333334</v>
      </c>
      <c r="E8" s="58">
        <f>TCR!E13+TCR!E15+TCR!E16+TCR!E19+TCR!E24+TCR!E20</f>
        <v>229878</v>
      </c>
      <c r="F8" s="58">
        <f>TCR!F13+TCR!F15+TCR!F16+TCR!F19+TCR!F24+TCR!F20</f>
        <v>226754</v>
      </c>
      <c r="G8" s="58">
        <f>TCR!G13+TCR!G15+TCR!G16+TCR!G19+TCR!G24+TCR!G20</f>
        <v>223630</v>
      </c>
      <c r="H8" s="58">
        <f>TCR!H13+TCR!H15+TCR!H16+TCR!H19+TCR!H24+TCR!H20</f>
        <v>220506</v>
      </c>
      <c r="I8" s="58">
        <f>TCR!I13+TCR!I15+TCR!I16+TCR!I19+TCR!I24+TCR!I20</f>
        <v>217382</v>
      </c>
      <c r="J8" s="58">
        <f>TCR!J13+TCR!J15+TCR!J16+TCR!J19+TCR!J24+TCR!J20</f>
        <v>200258</v>
      </c>
      <c r="K8" s="58">
        <f>TCR!K13+TCR!K15+TCR!K16+TCR!K19+TCR!K24+TCR!K20</f>
        <v>197134</v>
      </c>
      <c r="L8" s="58">
        <f t="shared" ref="L8:L9" si="0">SUM(B8:K8)</f>
        <v>2208670</v>
      </c>
    </row>
    <row r="9" spans="1:12" ht="33.75" customHeight="1" thickBot="1" x14ac:dyDescent="0.3">
      <c r="A9" s="59" t="s">
        <v>35</v>
      </c>
      <c r="B9" s="60">
        <f t="shared" ref="B9:K9" si="1">+B7-B8</f>
        <v>142000</v>
      </c>
      <c r="C9" s="60">
        <f t="shared" si="1"/>
        <v>103207.33333333334</v>
      </c>
      <c r="D9" s="60">
        <f t="shared" si="1"/>
        <v>111664.66666666666</v>
      </c>
      <c r="E9" s="60">
        <f t="shared" si="1"/>
        <v>120122</v>
      </c>
      <c r="F9" s="60">
        <f t="shared" si="1"/>
        <v>123246</v>
      </c>
      <c r="G9" s="60">
        <f t="shared" si="1"/>
        <v>126370</v>
      </c>
      <c r="H9" s="60">
        <f t="shared" si="1"/>
        <v>129494</v>
      </c>
      <c r="I9" s="60">
        <f t="shared" si="1"/>
        <v>132618</v>
      </c>
      <c r="J9" s="60">
        <f t="shared" si="1"/>
        <v>149742</v>
      </c>
      <c r="K9" s="60">
        <f t="shared" si="1"/>
        <v>152866</v>
      </c>
      <c r="L9" s="60">
        <f t="shared" si="0"/>
        <v>1291330</v>
      </c>
    </row>
    <row r="10" spans="1:12" ht="33.75" customHeight="1" thickBot="1" x14ac:dyDescent="0.3">
      <c r="A10" s="63" t="s">
        <v>36</v>
      </c>
      <c r="B10" s="64">
        <f t="shared" ref="B10:L10" si="2">+B9/B7</f>
        <v>0.40571428571428569</v>
      </c>
      <c r="C10" s="64">
        <f t="shared" si="2"/>
        <v>0.29487809523809527</v>
      </c>
      <c r="D10" s="64">
        <f t="shared" si="2"/>
        <v>0.31904190476190475</v>
      </c>
      <c r="E10" s="64">
        <f t="shared" si="2"/>
        <v>0.34320571428571428</v>
      </c>
      <c r="F10" s="64">
        <f t="shared" si="2"/>
        <v>0.3521314285714286</v>
      </c>
      <c r="G10" s="64">
        <f t="shared" si="2"/>
        <v>0.36105714285714285</v>
      </c>
      <c r="H10" s="64">
        <f t="shared" si="2"/>
        <v>0.36998285714285717</v>
      </c>
      <c r="I10" s="64">
        <f t="shared" si="2"/>
        <v>0.37890857142857143</v>
      </c>
      <c r="J10" s="64">
        <f t="shared" si="2"/>
        <v>0.42783428571428572</v>
      </c>
      <c r="K10" s="64">
        <f t="shared" si="2"/>
        <v>0.43675999999999998</v>
      </c>
      <c r="L10" s="64">
        <f t="shared" si="2"/>
        <v>0.3689514285714286</v>
      </c>
    </row>
    <row r="11" spans="1:12" ht="33.75" customHeight="1" x14ac:dyDescent="0.25">
      <c r="A11" s="61" t="s">
        <v>82</v>
      </c>
      <c r="B11" s="62">
        <f>TCR!B24+TCR!B27</f>
        <v>26980</v>
      </c>
      <c r="C11" s="62">
        <f>TCR!C24+TCR!C27</f>
        <v>58401.06</v>
      </c>
      <c r="D11" s="62">
        <f>TCR!D24+TCR!D27</f>
        <v>51549.619999999995</v>
      </c>
      <c r="E11" s="62">
        <f>TCR!E24+TCR!E27</f>
        <v>44698.179999999993</v>
      </c>
      <c r="F11" s="62">
        <f>TCR!F24+TCR!F27</f>
        <v>42166.74</v>
      </c>
      <c r="G11" s="62">
        <f>TCR!G24+TCR!G27</f>
        <v>39635.299999999996</v>
      </c>
      <c r="H11" s="62">
        <f>TCR!H24+TCR!H27</f>
        <v>37103.86</v>
      </c>
      <c r="I11" s="62">
        <f>TCR!I24+TCR!I27</f>
        <v>34572.42</v>
      </c>
      <c r="J11" s="62">
        <f>TCR!J24+TCR!J27</f>
        <v>34700.979999999996</v>
      </c>
      <c r="K11" s="62">
        <f>TCR!K24+TCR!K27</f>
        <v>32169.539999999997</v>
      </c>
      <c r="L11" s="62">
        <f>SUM(B11:K11)</f>
        <v>401977.6999999999</v>
      </c>
    </row>
    <row r="12" spans="1:12" ht="33.75" customHeight="1" thickBot="1" x14ac:dyDescent="0.3">
      <c r="A12" s="59" t="s">
        <v>88</v>
      </c>
      <c r="B12" s="60">
        <f t="shared" ref="B12:K12" si="3">+B9-B11</f>
        <v>115020</v>
      </c>
      <c r="C12" s="60">
        <f t="shared" si="3"/>
        <v>44806.273333333345</v>
      </c>
      <c r="D12" s="60">
        <f t="shared" si="3"/>
        <v>60115.046666666662</v>
      </c>
      <c r="E12" s="60">
        <f t="shared" si="3"/>
        <v>75423.820000000007</v>
      </c>
      <c r="F12" s="60">
        <f t="shared" si="3"/>
        <v>81079.260000000009</v>
      </c>
      <c r="G12" s="60">
        <f t="shared" si="3"/>
        <v>86734.700000000012</v>
      </c>
      <c r="H12" s="60">
        <f t="shared" si="3"/>
        <v>92390.14</v>
      </c>
      <c r="I12" s="60">
        <f t="shared" si="3"/>
        <v>98045.58</v>
      </c>
      <c r="J12" s="60">
        <f t="shared" si="3"/>
        <v>115041.02</v>
      </c>
      <c r="K12" s="60">
        <f t="shared" si="3"/>
        <v>120696.46</v>
      </c>
      <c r="L12" s="62">
        <f t="shared" ref="L12:L18" si="4">SUM(B12:K12)</f>
        <v>889352.29999999993</v>
      </c>
    </row>
    <row r="13" spans="1:12" ht="33.75" customHeight="1" thickBot="1" x14ac:dyDescent="0.3">
      <c r="A13" s="63" t="s">
        <v>37</v>
      </c>
      <c r="B13" s="64">
        <f t="shared" ref="B13:L13" si="5">+B12/B7</f>
        <v>0.32862857142857144</v>
      </c>
      <c r="C13" s="64">
        <f t="shared" si="5"/>
        <v>0.12801792380952384</v>
      </c>
      <c r="D13" s="64">
        <f t="shared" si="5"/>
        <v>0.17175727619047618</v>
      </c>
      <c r="E13" s="64">
        <f t="shared" si="5"/>
        <v>0.21549662857142859</v>
      </c>
      <c r="F13" s="64">
        <f t="shared" si="5"/>
        <v>0.23165502857142861</v>
      </c>
      <c r="G13" s="64">
        <f t="shared" si="5"/>
        <v>0.2478134285714286</v>
      </c>
      <c r="H13" s="64">
        <f t="shared" si="5"/>
        <v>0.26397182857142859</v>
      </c>
      <c r="I13" s="64">
        <f t="shared" si="5"/>
        <v>0.28013022857142855</v>
      </c>
      <c r="J13" s="64">
        <f t="shared" si="5"/>
        <v>0.32868862857142861</v>
      </c>
      <c r="K13" s="64">
        <f t="shared" si="5"/>
        <v>0.34484702857142857</v>
      </c>
      <c r="L13" s="64">
        <f t="shared" si="5"/>
        <v>0.25410065714285712</v>
      </c>
    </row>
    <row r="14" spans="1:12" ht="33.75" customHeight="1" x14ac:dyDescent="0.25">
      <c r="A14" s="65" t="s">
        <v>27</v>
      </c>
      <c r="B14" s="62">
        <f>TCR!B20</f>
        <v>20000</v>
      </c>
      <c r="C14" s="62">
        <f>TCR!C20</f>
        <v>20000</v>
      </c>
      <c r="D14" s="62">
        <f>TCR!D20</f>
        <v>20000</v>
      </c>
      <c r="E14" s="62">
        <f>TCR!E20</f>
        <v>20000</v>
      </c>
      <c r="F14" s="62">
        <f>TCR!F20</f>
        <v>20000</v>
      </c>
      <c r="G14" s="62">
        <f>TCR!G20</f>
        <v>20000</v>
      </c>
      <c r="H14" s="62">
        <f>TCR!H20</f>
        <v>20000</v>
      </c>
      <c r="I14" s="62">
        <f>TCR!I20</f>
        <v>20000</v>
      </c>
      <c r="J14" s="62">
        <f>TCR!J20</f>
        <v>20000</v>
      </c>
      <c r="K14" s="62">
        <f>TCR!K20</f>
        <v>20000</v>
      </c>
      <c r="L14" s="62">
        <f t="shared" si="4"/>
        <v>200000</v>
      </c>
    </row>
    <row r="15" spans="1:12" ht="33.75" customHeight="1" thickBot="1" x14ac:dyDescent="0.3">
      <c r="A15" s="59" t="s">
        <v>87</v>
      </c>
      <c r="B15" s="60">
        <f t="shared" ref="B15:K15" si="6">+B12+B14</f>
        <v>135020</v>
      </c>
      <c r="C15" s="60">
        <f t="shared" si="6"/>
        <v>64806.273333333345</v>
      </c>
      <c r="D15" s="60">
        <f t="shared" si="6"/>
        <v>80115.046666666662</v>
      </c>
      <c r="E15" s="60">
        <f t="shared" si="6"/>
        <v>95423.82</v>
      </c>
      <c r="F15" s="60">
        <f t="shared" si="6"/>
        <v>101079.26000000001</v>
      </c>
      <c r="G15" s="60">
        <f t="shared" si="6"/>
        <v>106734.70000000001</v>
      </c>
      <c r="H15" s="60">
        <f t="shared" si="6"/>
        <v>112390.14</v>
      </c>
      <c r="I15" s="60">
        <f t="shared" si="6"/>
        <v>118045.58</v>
      </c>
      <c r="J15" s="60">
        <f t="shared" si="6"/>
        <v>135041.02000000002</v>
      </c>
      <c r="K15" s="60">
        <f t="shared" si="6"/>
        <v>140696.46000000002</v>
      </c>
      <c r="L15" s="62">
        <f t="shared" si="4"/>
        <v>1089352.3</v>
      </c>
    </row>
    <row r="16" spans="1:12" ht="33.75" customHeight="1" thickBot="1" x14ac:dyDescent="0.3">
      <c r="A16" s="63" t="s">
        <v>36</v>
      </c>
      <c r="B16" s="64">
        <f t="shared" ref="B16:L16" si="7">+B15/B7</f>
        <v>0.3857714285714286</v>
      </c>
      <c r="C16" s="64">
        <f t="shared" si="7"/>
        <v>0.18516078095238098</v>
      </c>
      <c r="D16" s="64">
        <f t="shared" si="7"/>
        <v>0.22890013333333331</v>
      </c>
      <c r="E16" s="64">
        <f t="shared" si="7"/>
        <v>0.27263948571428576</v>
      </c>
      <c r="F16" s="64">
        <f t="shared" si="7"/>
        <v>0.28879788571428572</v>
      </c>
      <c r="G16" s="64">
        <f t="shared" si="7"/>
        <v>0.30495628571428574</v>
      </c>
      <c r="H16" s="64">
        <f t="shared" si="7"/>
        <v>0.3211146857142857</v>
      </c>
      <c r="I16" s="64">
        <f t="shared" si="7"/>
        <v>0.33727308571428571</v>
      </c>
      <c r="J16" s="64">
        <f t="shared" si="7"/>
        <v>0.38583148571428577</v>
      </c>
      <c r="K16" s="64">
        <f t="shared" si="7"/>
        <v>0.40198988571428579</v>
      </c>
      <c r="L16" s="64">
        <f t="shared" si="7"/>
        <v>0.31124351428571428</v>
      </c>
    </row>
    <row r="17" spans="1:12" ht="33.75" customHeight="1" x14ac:dyDescent="0.25">
      <c r="A17" s="65" t="s">
        <v>85</v>
      </c>
      <c r="B17" s="66">
        <f>TCR!B32</f>
        <v>116666.66666666667</v>
      </c>
      <c r="C17" s="66">
        <f>TCR!C32</f>
        <v>116666.66666666667</v>
      </c>
      <c r="D17" s="66">
        <f>TCR!D32</f>
        <v>116666.66666666667</v>
      </c>
      <c r="E17" s="66">
        <f>TCR!E32</f>
        <v>50000</v>
      </c>
      <c r="F17" s="66">
        <f>TCR!F32</f>
        <v>50000</v>
      </c>
      <c r="G17" s="66">
        <f>TCR!G32</f>
        <v>50000</v>
      </c>
      <c r="H17" s="66">
        <f>TCR!H32</f>
        <v>50000</v>
      </c>
      <c r="I17" s="66">
        <f>TCR!I32</f>
        <v>50000</v>
      </c>
      <c r="J17" s="66">
        <f>TCR!J32</f>
        <v>50000</v>
      </c>
      <c r="K17" s="66">
        <f>TCR!K32</f>
        <v>50000</v>
      </c>
      <c r="L17" s="62">
        <f t="shared" si="4"/>
        <v>700000</v>
      </c>
    </row>
    <row r="18" spans="1:12" ht="33.75" customHeight="1" thickBot="1" x14ac:dyDescent="0.3">
      <c r="A18" s="59" t="s">
        <v>86</v>
      </c>
      <c r="B18" s="67">
        <f>+B15-B17</f>
        <v>18353.333333333328</v>
      </c>
      <c r="C18" s="67">
        <f t="shared" ref="C18:K18" si="8">+C15-C17</f>
        <v>-51860.393333333326</v>
      </c>
      <c r="D18" s="67">
        <f t="shared" si="8"/>
        <v>-36551.62000000001</v>
      </c>
      <c r="E18" s="67">
        <f t="shared" si="8"/>
        <v>45423.820000000007</v>
      </c>
      <c r="F18" s="67">
        <f t="shared" si="8"/>
        <v>51079.260000000009</v>
      </c>
      <c r="G18" s="67">
        <f t="shared" si="8"/>
        <v>56734.700000000012</v>
      </c>
      <c r="H18" s="67">
        <f t="shared" si="8"/>
        <v>62390.14</v>
      </c>
      <c r="I18" s="67">
        <f t="shared" si="8"/>
        <v>68045.58</v>
      </c>
      <c r="J18" s="67">
        <f t="shared" si="8"/>
        <v>85041.020000000019</v>
      </c>
      <c r="K18" s="67">
        <f t="shared" si="8"/>
        <v>90696.460000000021</v>
      </c>
      <c r="L18" s="62">
        <f t="shared" si="4"/>
        <v>389352.30000000005</v>
      </c>
    </row>
    <row r="19" spans="1:12" ht="33" customHeight="1" thickBot="1" x14ac:dyDescent="0.3">
      <c r="A19" s="63" t="s">
        <v>36</v>
      </c>
      <c r="B19" s="64">
        <f t="shared" ref="B19:L19" si="9">+B18/B7</f>
        <v>5.2438095238095221E-2</v>
      </c>
      <c r="C19" s="64">
        <f t="shared" si="9"/>
        <v>-0.14817255238095237</v>
      </c>
      <c r="D19" s="64">
        <f t="shared" si="9"/>
        <v>-0.10443320000000003</v>
      </c>
      <c r="E19" s="64">
        <f t="shared" si="9"/>
        <v>0.12978234285714288</v>
      </c>
      <c r="F19" s="64">
        <f t="shared" si="9"/>
        <v>0.1459407428571429</v>
      </c>
      <c r="G19" s="64">
        <f t="shared" si="9"/>
        <v>0.16209914285714289</v>
      </c>
      <c r="H19" s="64">
        <f t="shared" si="9"/>
        <v>0.17825754285714285</v>
      </c>
      <c r="I19" s="64">
        <f t="shared" si="9"/>
        <v>0.19441594285714286</v>
      </c>
      <c r="J19" s="64">
        <f t="shared" si="9"/>
        <v>0.24297434285714292</v>
      </c>
      <c r="K19" s="64">
        <f t="shared" si="9"/>
        <v>0.25913274285714294</v>
      </c>
      <c r="L19" s="64">
        <f t="shared" si="9"/>
        <v>0.1112435142857143</v>
      </c>
    </row>
  </sheetData>
  <mergeCells count="2">
    <mergeCell ref="A3:K3"/>
    <mergeCell ref="A6:L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"/>
  <sheetViews>
    <sheetView tabSelected="1" workbookViewId="0">
      <selection activeCell="D7" sqref="D7"/>
    </sheetView>
  </sheetViews>
  <sheetFormatPr baseColWidth="10" defaultRowHeight="15" x14ac:dyDescent="0.25"/>
  <cols>
    <col min="1" max="1" width="24.140625" style="4" bestFit="1" customWidth="1"/>
    <col min="2" max="11" width="12.85546875" style="4" customWidth="1"/>
    <col min="12" max="12" width="14.7109375" style="4" customWidth="1"/>
    <col min="13" max="16384" width="11.42578125" style="4"/>
  </cols>
  <sheetData>
    <row r="1" spans="1:12" x14ac:dyDescent="0.25">
      <c r="A1" s="13"/>
      <c r="B1" s="13"/>
    </row>
    <row r="2" spans="1:12" x14ac:dyDescent="0.25">
      <c r="A2" s="13"/>
      <c r="B2" s="13"/>
    </row>
    <row r="3" spans="1:12" ht="18.75" x14ac:dyDescent="0.3">
      <c r="A3" s="90" t="s">
        <v>84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29.25" customHeight="1" x14ac:dyDescent="0.25">
      <c r="A4" s="91" t="s">
        <v>40</v>
      </c>
      <c r="B4" s="68">
        <v>6.25</v>
      </c>
      <c r="C4" s="92"/>
      <c r="D4" s="92"/>
      <c r="E4" s="92"/>
      <c r="F4" s="92"/>
      <c r="G4" s="92"/>
      <c r="H4" s="93"/>
      <c r="I4" s="93"/>
      <c r="J4" s="93"/>
      <c r="K4" s="93"/>
      <c r="L4" s="93"/>
    </row>
    <row r="5" spans="1:12" ht="29.25" customHeight="1" x14ac:dyDescent="0.25">
      <c r="A5" s="91" t="s">
        <v>64</v>
      </c>
      <c r="B5" s="56">
        <v>2016</v>
      </c>
      <c r="C5" s="56">
        <v>2017</v>
      </c>
      <c r="D5" s="56">
        <v>2018</v>
      </c>
      <c r="E5" s="56">
        <v>2019</v>
      </c>
      <c r="F5" s="56">
        <v>2020</v>
      </c>
      <c r="G5" s="56">
        <v>2021</v>
      </c>
      <c r="H5" s="56">
        <v>2022</v>
      </c>
      <c r="I5" s="56">
        <v>2023</v>
      </c>
      <c r="J5" s="56">
        <v>2024</v>
      </c>
      <c r="K5" s="56">
        <v>2025</v>
      </c>
      <c r="L5" s="56" t="s">
        <v>1</v>
      </c>
    </row>
    <row r="6" spans="1:12" ht="29.25" customHeight="1" x14ac:dyDescent="0.25">
      <c r="A6" s="91" t="s">
        <v>39</v>
      </c>
      <c r="B6" s="94">
        <f>TCR!B34</f>
        <v>18353.333333333328</v>
      </c>
      <c r="C6" s="94">
        <f>TCR!C34</f>
        <v>-13068.726666666669</v>
      </c>
      <c r="D6" s="94">
        <f>TCR!D34</f>
        <v>-6218.2866666666669</v>
      </c>
      <c r="E6" s="94">
        <f>TCR!E34</f>
        <v>67298.820000000007</v>
      </c>
      <c r="F6" s="94">
        <f>TCR!F34</f>
        <v>69829.259999999995</v>
      </c>
      <c r="G6" s="94">
        <f>TCR!G34</f>
        <v>72359.7</v>
      </c>
      <c r="H6" s="94">
        <f>TCR!H34</f>
        <v>74890.14</v>
      </c>
      <c r="I6" s="94">
        <f>TCR!I34</f>
        <v>77420.58</v>
      </c>
      <c r="J6" s="94">
        <f>TCR!J34</f>
        <v>91291.020000000019</v>
      </c>
      <c r="K6" s="94">
        <f>TCR!K34</f>
        <v>93821.459999999992</v>
      </c>
      <c r="L6" s="95">
        <f>SUM(B6:K6)</f>
        <v>545977.30000000005</v>
      </c>
    </row>
    <row r="7" spans="1:12" ht="29.25" customHeight="1" x14ac:dyDescent="0.25">
      <c r="A7" s="91" t="s">
        <v>38</v>
      </c>
      <c r="B7" s="96">
        <f>+B6</f>
        <v>18353.333333333328</v>
      </c>
      <c r="C7" s="96">
        <f>+C6/(1+$B$4/100)^1</f>
        <v>-12299.978039215688</v>
      </c>
      <c r="D7" s="96">
        <f>+D6/(1+$B$4/100)^2</f>
        <v>-5508.2400922722036</v>
      </c>
      <c r="E7" s="96">
        <f>+E6/(1+$B$4/100)^3</f>
        <v>56107.463203745174</v>
      </c>
      <c r="F7" s="96">
        <f>+F6/(1+$B$4/100)^4</f>
        <v>54792.571728786766</v>
      </c>
      <c r="G7" s="96">
        <f>+G6/(1+$B$4/100)^5</f>
        <v>53438.229897236131</v>
      </c>
      <c r="H7" s="96">
        <f>+H6/(1+$B$4/100)^6</f>
        <v>52053.62872500706</v>
      </c>
      <c r="I7" s="96">
        <f>+I6/(1+$B$4/100)^7</f>
        <v>50647.014438447724</v>
      </c>
      <c r="J7" s="96">
        <f>+J6/(1+$B$4/100)^8</f>
        <v>56207.79515840995</v>
      </c>
      <c r="K7" s="96">
        <f>+K6/(1+$B$4/100)^9</f>
        <v>54367.797352123576</v>
      </c>
      <c r="L7" s="97">
        <f>SUM(B7:K7)</f>
        <v>378159.61570560181</v>
      </c>
    </row>
    <row r="8" spans="1:12" ht="29.25" customHeight="1" x14ac:dyDescent="0.25">
      <c r="A8" s="91" t="s">
        <v>93</v>
      </c>
      <c r="B8" s="97">
        <f>B7-L9+L10</f>
        <v>-461646.66666666669</v>
      </c>
      <c r="C8" s="97">
        <f>B8+C7</f>
        <v>-473946.64470588235</v>
      </c>
      <c r="D8" s="97">
        <f t="shared" ref="D8:K8" si="0">C8+D7</f>
        <v>-479454.88479815458</v>
      </c>
      <c r="E8" s="97">
        <f t="shared" si="0"/>
        <v>-423347.42159440939</v>
      </c>
      <c r="F8" s="97">
        <f t="shared" si="0"/>
        <v>-368554.84986562264</v>
      </c>
      <c r="G8" s="97">
        <f t="shared" si="0"/>
        <v>-315116.61996838648</v>
      </c>
      <c r="H8" s="97">
        <f t="shared" si="0"/>
        <v>-263062.99124337942</v>
      </c>
      <c r="I8" s="97">
        <f t="shared" si="0"/>
        <v>-212415.97680493171</v>
      </c>
      <c r="J8" s="97">
        <f t="shared" si="0"/>
        <v>-156208.18164652176</v>
      </c>
      <c r="K8" s="97">
        <f t="shared" si="0"/>
        <v>-101840.38429439819</v>
      </c>
      <c r="L8" s="98">
        <f>K8</f>
        <v>-101840.38429439819</v>
      </c>
    </row>
    <row r="9" spans="1:12" ht="29.25" customHeight="1" x14ac:dyDescent="0.25">
      <c r="A9" s="99" t="s">
        <v>96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7">
        <f>Crédit!B8</f>
        <v>500000</v>
      </c>
    </row>
    <row r="10" spans="1:12" ht="29.25" customHeight="1" x14ac:dyDescent="0.25">
      <c r="A10" s="99" t="s">
        <v>97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7">
        <f>BILANS!L22</f>
        <v>20000</v>
      </c>
    </row>
  </sheetData>
  <mergeCells count="3">
    <mergeCell ref="A9:K9"/>
    <mergeCell ref="A10:K10"/>
    <mergeCell ref="A3:L3"/>
  </mergeCells>
  <pageMargins left="0.70866141732283472" right="0.70866141732283472" top="0.31496062992125984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Crédit</vt:lpstr>
      <vt:lpstr>TCR</vt:lpstr>
      <vt:lpstr>BILANS</vt:lpstr>
      <vt:lpstr>RENTABILITE</vt:lpstr>
      <vt:lpstr>VAN</vt:lpstr>
      <vt:lpstr>BILANS!Zone_d_impression</vt:lpstr>
      <vt:lpstr>RENTABILITE!Zone_d_impression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</dc:creator>
  <cp:lastModifiedBy>DFC</cp:lastModifiedBy>
  <cp:lastPrinted>2016-04-14T07:13:37Z</cp:lastPrinted>
  <dcterms:created xsi:type="dcterms:W3CDTF">2016-04-11T19:21:14Z</dcterms:created>
  <dcterms:modified xsi:type="dcterms:W3CDTF">2016-04-14T07:13:42Z</dcterms:modified>
</cp:coreProperties>
</file>